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REALE TECH\2023\Addix\Sistema EBD\Documentação\Conteúdo de apoio ao professor\Materiais\"/>
    </mc:Choice>
  </mc:AlternateContent>
  <xr:revisionPtr revIDLastSave="0" documentId="13_ncr:1_{C07FBCCE-A937-4D95-BA8C-D820ECD944AC}" xr6:coauthVersionLast="47" xr6:coauthVersionMax="47" xr10:uidLastSave="{00000000-0000-0000-0000-000000000000}"/>
  <bookViews>
    <workbookView xWindow="-108" yWindow="-108" windowWidth="23256" windowHeight="12456" tabRatio="865" firstSheet="1" activeTab="1" xr2:uid="{00000000-000D-0000-FFFF-FFFF00000000}"/>
  </bookViews>
  <sheets>
    <sheet name="MODELO" sheetId="17" state="hidden" r:id="rId1"/>
    <sheet name="CHAMADA" sheetId="39" r:id="rId2"/>
    <sheet name="DV-IDENTITY-0" sheetId="11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" i="17" l="1"/>
  <c r="W8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9" i="17"/>
  <c r="E12" i="17"/>
  <c r="E13" i="17"/>
  <c r="E14" i="17"/>
  <c r="E15" i="17"/>
  <c r="E16" i="17"/>
  <c r="E17" i="17"/>
  <c r="W62" i="17" l="1"/>
  <c r="W61" i="17"/>
  <c r="Y60" i="17"/>
  <c r="W60" i="17"/>
  <c r="Y59" i="17"/>
  <c r="W59" i="17"/>
  <c r="Y57" i="17"/>
  <c r="W57" i="17"/>
  <c r="U56" i="17"/>
  <c r="U58" i="17" s="1"/>
  <c r="T56" i="17"/>
  <c r="T58" i="17" s="1"/>
  <c r="S56" i="17"/>
  <c r="S58" i="17" s="1"/>
  <c r="R56" i="17"/>
  <c r="R58" i="17" s="1"/>
  <c r="Q56" i="17"/>
  <c r="Q58" i="17" s="1"/>
  <c r="P56" i="17"/>
  <c r="P58" i="17" s="1"/>
  <c r="O56" i="17"/>
  <c r="O58" i="17" s="1"/>
  <c r="N56" i="17"/>
  <c r="N58" i="17" s="1"/>
  <c r="M56" i="17"/>
  <c r="M58" i="17" s="1"/>
  <c r="L56" i="17"/>
  <c r="L58" i="17" s="1"/>
  <c r="K56" i="17"/>
  <c r="K58" i="17" s="1"/>
  <c r="J56" i="17"/>
  <c r="J58" i="17" s="1"/>
  <c r="I56" i="17"/>
  <c r="I58" i="17" s="1"/>
  <c r="H56" i="17"/>
  <c r="H58" i="17" s="1"/>
  <c r="G56" i="17"/>
  <c r="G58" i="17" s="1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X52" i="17"/>
  <c r="Y52" i="17" s="1"/>
  <c r="W52" i="17"/>
  <c r="Z52" i="17" s="1"/>
  <c r="X51" i="17"/>
  <c r="Y51" i="17" s="1"/>
  <c r="W51" i="17"/>
  <c r="Z51" i="17" s="1"/>
  <c r="X50" i="17"/>
  <c r="Y50" i="17" s="1"/>
  <c r="W50" i="17"/>
  <c r="Z50" i="17" s="1"/>
  <c r="X49" i="17"/>
  <c r="Y49" i="17" s="1"/>
  <c r="W49" i="17"/>
  <c r="Z49" i="17" s="1"/>
  <c r="X48" i="17"/>
  <c r="Y48" i="17" s="1"/>
  <c r="W48" i="17"/>
  <c r="Z48" i="17" s="1"/>
  <c r="X47" i="17"/>
  <c r="Y47" i="17" s="1"/>
  <c r="W47" i="17"/>
  <c r="Z47" i="17" s="1"/>
  <c r="X46" i="17"/>
  <c r="Y46" i="17" s="1"/>
  <c r="W46" i="17"/>
  <c r="Z46" i="17" s="1"/>
  <c r="X45" i="17"/>
  <c r="Y45" i="17" s="1"/>
  <c r="W45" i="17"/>
  <c r="Z45" i="17" s="1"/>
  <c r="X44" i="17"/>
  <c r="Y44" i="17" s="1"/>
  <c r="W44" i="17"/>
  <c r="Z44" i="17" s="1"/>
  <c r="X43" i="17"/>
  <c r="Y43" i="17" s="1"/>
  <c r="W43" i="17"/>
  <c r="Z43" i="17" s="1"/>
  <c r="X42" i="17"/>
  <c r="Y42" i="17" s="1"/>
  <c r="W42" i="17"/>
  <c r="Z42" i="17" s="1"/>
  <c r="X41" i="17"/>
  <c r="Y41" i="17" s="1"/>
  <c r="W41" i="17"/>
  <c r="Z41" i="17" s="1"/>
  <c r="X40" i="17"/>
  <c r="Y40" i="17" s="1"/>
  <c r="W40" i="17"/>
  <c r="Z40" i="17" s="1"/>
  <c r="X39" i="17"/>
  <c r="Y39" i="17" s="1"/>
  <c r="W39" i="17"/>
  <c r="Z39" i="17" s="1"/>
  <c r="X38" i="17"/>
  <c r="Y38" i="17" s="1"/>
  <c r="W38" i="17"/>
  <c r="Z38" i="17" s="1"/>
  <c r="X37" i="17"/>
  <c r="Y37" i="17" s="1"/>
  <c r="W37" i="17"/>
  <c r="Z37" i="17" s="1"/>
  <c r="X36" i="17"/>
  <c r="Y36" i="17" s="1"/>
  <c r="W36" i="17"/>
  <c r="Z36" i="17" s="1"/>
  <c r="X35" i="17"/>
  <c r="Y35" i="17" s="1"/>
  <c r="W35" i="17"/>
  <c r="Z35" i="17" s="1"/>
  <c r="X34" i="17"/>
  <c r="Y34" i="17" s="1"/>
  <c r="W34" i="17"/>
  <c r="Z34" i="17" s="1"/>
  <c r="X33" i="17"/>
  <c r="Y33" i="17" s="1"/>
  <c r="W33" i="17"/>
  <c r="Z33" i="17" s="1"/>
  <c r="X32" i="17"/>
  <c r="Y32" i="17" s="1"/>
  <c r="W32" i="17"/>
  <c r="Z32" i="17" s="1"/>
  <c r="X31" i="17"/>
  <c r="Y31" i="17" s="1"/>
  <c r="W31" i="17"/>
  <c r="Z31" i="17" s="1"/>
  <c r="X30" i="17"/>
  <c r="Y30" i="17" s="1"/>
  <c r="W30" i="17"/>
  <c r="Z30" i="17" s="1"/>
  <c r="X29" i="17"/>
  <c r="Y29" i="17" s="1"/>
  <c r="W29" i="17"/>
  <c r="Z29" i="17" s="1"/>
  <c r="X28" i="17"/>
  <c r="Y28" i="17" s="1"/>
  <c r="W28" i="17"/>
  <c r="Z28" i="17" s="1"/>
  <c r="X27" i="17"/>
  <c r="Y27" i="17" s="1"/>
  <c r="W27" i="17"/>
  <c r="Z27" i="17" s="1"/>
  <c r="X26" i="17"/>
  <c r="Y26" i="17" s="1"/>
  <c r="W26" i="17"/>
  <c r="Z26" i="17" s="1"/>
  <c r="X25" i="17"/>
  <c r="Y25" i="17" s="1"/>
  <c r="W25" i="17"/>
  <c r="Z25" i="17" s="1"/>
  <c r="X24" i="17"/>
  <c r="Y24" i="17" s="1"/>
  <c r="W24" i="17"/>
  <c r="Z24" i="17" s="1"/>
  <c r="X23" i="17"/>
  <c r="Y23" i="17" s="1"/>
  <c r="W23" i="17"/>
  <c r="Z23" i="17" s="1"/>
  <c r="X22" i="17"/>
  <c r="Y22" i="17" s="1"/>
  <c r="W22" i="17"/>
  <c r="Z22" i="17" s="1"/>
  <c r="X21" i="17"/>
  <c r="Y21" i="17" s="1"/>
  <c r="W21" i="17"/>
  <c r="Z21" i="17" s="1"/>
  <c r="X20" i="17"/>
  <c r="Y20" i="17" s="1"/>
  <c r="W20" i="17"/>
  <c r="Z20" i="17" s="1"/>
  <c r="X19" i="17"/>
  <c r="Y19" i="17" s="1"/>
  <c r="W19" i="17"/>
  <c r="Z19" i="17" s="1"/>
  <c r="X18" i="17"/>
  <c r="Y18" i="17" s="1"/>
  <c r="W18" i="17"/>
  <c r="Z18" i="17" s="1"/>
  <c r="X17" i="17"/>
  <c r="Y17" i="17" s="1"/>
  <c r="W17" i="17"/>
  <c r="Z17" i="17" s="1"/>
  <c r="X16" i="17"/>
  <c r="Y16" i="17" s="1"/>
  <c r="W16" i="17"/>
  <c r="Z16" i="17" s="1"/>
  <c r="X15" i="17"/>
  <c r="Y15" i="17" s="1"/>
  <c r="W15" i="17"/>
  <c r="Z15" i="17" s="1"/>
  <c r="X14" i="17"/>
  <c r="Y14" i="17" s="1"/>
  <c r="W14" i="17"/>
  <c r="Z14" i="17" s="1"/>
  <c r="X13" i="17"/>
  <c r="Y13" i="17" s="1"/>
  <c r="W13" i="17"/>
  <c r="Z13" i="17" s="1"/>
  <c r="X12" i="17"/>
  <c r="Y12" i="17" s="1"/>
  <c r="W12" i="17"/>
  <c r="Z12" i="17" s="1"/>
  <c r="X11" i="17"/>
  <c r="Y11" i="17" s="1"/>
  <c r="W11" i="17"/>
  <c r="Z11" i="17" s="1"/>
  <c r="X10" i="17"/>
  <c r="Y10" i="17" s="1"/>
  <c r="W10" i="17"/>
  <c r="Z10" i="17" s="1"/>
  <c r="X9" i="17"/>
  <c r="Y9" i="17" s="1"/>
  <c r="W9" i="17"/>
  <c r="Z9" i="17" s="1"/>
  <c r="X8" i="17"/>
  <c r="Y8" i="17" s="1"/>
  <c r="Z8" i="17"/>
  <c r="IL11" i="11"/>
  <c r="IM11" i="11"/>
  <c r="A75" i="11"/>
  <c r="B75" i="11"/>
  <c r="C75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W75" i="11"/>
  <c r="X75" i="11"/>
  <c r="Y75" i="11"/>
  <c r="Z75" i="11"/>
  <c r="AA75" i="11"/>
  <c r="AB75" i="11"/>
  <c r="AC75" i="11"/>
  <c r="AD75" i="11"/>
  <c r="AE75" i="11"/>
  <c r="AF75" i="11"/>
  <c r="AG75" i="11"/>
  <c r="A74" i="11"/>
  <c r="B74" i="11"/>
  <c r="C74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V74" i="11"/>
  <c r="W74" i="11"/>
  <c r="X74" i="11"/>
  <c r="Y74" i="11"/>
  <c r="Z74" i="11"/>
  <c r="AA74" i="11"/>
  <c r="AB74" i="11"/>
  <c r="AC74" i="11"/>
  <c r="AD74" i="11"/>
  <c r="AE74" i="11"/>
  <c r="AF74" i="11"/>
  <c r="AG74" i="11"/>
  <c r="AH74" i="11"/>
  <c r="AI74" i="11"/>
  <c r="AJ74" i="11"/>
  <c r="AK74" i="11"/>
  <c r="AL74" i="11"/>
  <c r="AM74" i="11"/>
  <c r="AN74" i="11"/>
  <c r="AO74" i="11"/>
  <c r="AP74" i="11"/>
  <c r="AQ74" i="11"/>
  <c r="AR74" i="11"/>
  <c r="AS74" i="11"/>
  <c r="AT74" i="11"/>
  <c r="AU74" i="11"/>
  <c r="AV74" i="11"/>
  <c r="AW74" i="11"/>
  <c r="AX74" i="11"/>
  <c r="AY74" i="11"/>
  <c r="AZ74" i="11"/>
  <c r="BA74" i="11"/>
  <c r="BB74" i="11"/>
  <c r="BC74" i="11"/>
  <c r="BD74" i="11"/>
  <c r="BE74" i="11"/>
  <c r="BF74" i="11"/>
  <c r="BG74" i="11"/>
  <c r="BH74" i="11"/>
  <c r="BI74" i="11"/>
  <c r="BJ74" i="11"/>
  <c r="BK74" i="11"/>
  <c r="BL74" i="11"/>
  <c r="BM74" i="11"/>
  <c r="BN74" i="11"/>
  <c r="BO74" i="11"/>
  <c r="BP74" i="11"/>
  <c r="BQ74" i="11"/>
  <c r="BR74" i="11"/>
  <c r="BS74" i="11"/>
  <c r="BT74" i="11"/>
  <c r="BU74" i="11"/>
  <c r="BV74" i="11"/>
  <c r="BW74" i="11"/>
  <c r="BX74" i="11"/>
  <c r="BY74" i="11"/>
  <c r="BZ74" i="11"/>
  <c r="CA74" i="11"/>
  <c r="CB74" i="11"/>
  <c r="CC74" i="11"/>
  <c r="CD74" i="11"/>
  <c r="CE74" i="11"/>
  <c r="CF74" i="11"/>
  <c r="CG74" i="11"/>
  <c r="CH74" i="11"/>
  <c r="CI74" i="11"/>
  <c r="CJ74" i="11"/>
  <c r="CK74" i="11"/>
  <c r="CL74" i="11"/>
  <c r="CM74" i="11"/>
  <c r="CN74" i="11"/>
  <c r="CO74" i="11"/>
  <c r="CP74" i="11"/>
  <c r="CQ74" i="11"/>
  <c r="CR74" i="11"/>
  <c r="CS74" i="11"/>
  <c r="CT74" i="11"/>
  <c r="CU74" i="11"/>
  <c r="CV74" i="11"/>
  <c r="CW74" i="11"/>
  <c r="CX74" i="11"/>
  <c r="CY74" i="11"/>
  <c r="CZ74" i="11"/>
  <c r="DA74" i="11"/>
  <c r="DB74" i="11"/>
  <c r="DC74" i="11"/>
  <c r="DD74" i="11"/>
  <c r="DE74" i="11"/>
  <c r="DF74" i="11"/>
  <c r="DG74" i="11"/>
  <c r="DH74" i="11"/>
  <c r="DI74" i="11"/>
  <c r="DJ74" i="11"/>
  <c r="DK74" i="11"/>
  <c r="DL74" i="11"/>
  <c r="DM74" i="11"/>
  <c r="DN74" i="11"/>
  <c r="DO74" i="11"/>
  <c r="DP74" i="11"/>
  <c r="DQ74" i="11"/>
  <c r="DR74" i="11"/>
  <c r="DS74" i="11"/>
  <c r="DT74" i="11"/>
  <c r="DU74" i="11"/>
  <c r="DV74" i="11"/>
  <c r="DW74" i="11"/>
  <c r="DX74" i="11"/>
  <c r="DY74" i="11"/>
  <c r="DZ74" i="11"/>
  <c r="EA74" i="11"/>
  <c r="EB74" i="11"/>
  <c r="EC74" i="11"/>
  <c r="ED74" i="11"/>
  <c r="EE74" i="11"/>
  <c r="EF74" i="11"/>
  <c r="EG74" i="11"/>
  <c r="EH74" i="11"/>
  <c r="EI74" i="11"/>
  <c r="EJ74" i="11"/>
  <c r="EK74" i="11"/>
  <c r="EL74" i="11"/>
  <c r="EM74" i="11"/>
  <c r="EN74" i="11"/>
  <c r="EO74" i="11"/>
  <c r="EP74" i="11"/>
  <c r="EQ74" i="11"/>
  <c r="ER74" i="11"/>
  <c r="ES74" i="11"/>
  <c r="ET74" i="11"/>
  <c r="EU74" i="11"/>
  <c r="EV74" i="11"/>
  <c r="EW74" i="11"/>
  <c r="EX74" i="11"/>
  <c r="EY74" i="11"/>
  <c r="EZ74" i="11"/>
  <c r="FA74" i="11"/>
  <c r="FB74" i="11"/>
  <c r="FC74" i="11"/>
  <c r="FD74" i="11"/>
  <c r="FE74" i="11"/>
  <c r="FF74" i="11"/>
  <c r="FG74" i="11"/>
  <c r="FH74" i="11"/>
  <c r="FI74" i="11"/>
  <c r="FJ74" i="11"/>
  <c r="FK74" i="11"/>
  <c r="FL74" i="11"/>
  <c r="FM74" i="11"/>
  <c r="FN74" i="11"/>
  <c r="FO74" i="11"/>
  <c r="FP74" i="11"/>
  <c r="FQ74" i="11"/>
  <c r="FR74" i="11"/>
  <c r="FS74" i="11"/>
  <c r="FT74" i="11"/>
  <c r="FU74" i="11"/>
  <c r="FV74" i="11"/>
  <c r="FW74" i="11"/>
  <c r="FX74" i="11"/>
  <c r="FY74" i="11"/>
  <c r="FZ74" i="11"/>
  <c r="GA74" i="11"/>
  <c r="GB74" i="11"/>
  <c r="GC74" i="11"/>
  <c r="GD74" i="11"/>
  <c r="GE74" i="11"/>
  <c r="GF74" i="11"/>
  <c r="GG74" i="11"/>
  <c r="GH74" i="11"/>
  <c r="GI74" i="11"/>
  <c r="GJ74" i="11"/>
  <c r="GK74" i="11"/>
  <c r="GL74" i="11"/>
  <c r="GM74" i="11"/>
  <c r="GN74" i="11"/>
  <c r="GO74" i="11"/>
  <c r="GP74" i="11"/>
  <c r="GQ74" i="11"/>
  <c r="GR74" i="11"/>
  <c r="GS74" i="11"/>
  <c r="GT74" i="11"/>
  <c r="GU74" i="11"/>
  <c r="GV74" i="11"/>
  <c r="GW74" i="11"/>
  <c r="GX74" i="11"/>
  <c r="GY74" i="11"/>
  <c r="GZ74" i="11"/>
  <c r="HA74" i="11"/>
  <c r="HB74" i="11"/>
  <c r="HC74" i="11"/>
  <c r="HD74" i="11"/>
  <c r="HE74" i="11"/>
  <c r="HF74" i="11"/>
  <c r="HG74" i="11"/>
  <c r="HH74" i="11"/>
  <c r="HI74" i="11"/>
  <c r="HJ74" i="11"/>
  <c r="HK74" i="11"/>
  <c r="HL74" i="11"/>
  <c r="HM74" i="11"/>
  <c r="HN74" i="11"/>
  <c r="HO74" i="11"/>
  <c r="HP74" i="11"/>
  <c r="HQ74" i="11"/>
  <c r="HR74" i="11"/>
  <c r="HS74" i="11"/>
  <c r="HT74" i="11"/>
  <c r="HU74" i="11"/>
  <c r="HV74" i="11"/>
  <c r="HW74" i="11"/>
  <c r="HX74" i="11"/>
  <c r="HY74" i="11"/>
  <c r="HZ74" i="11"/>
  <c r="IA74" i="11"/>
  <c r="IB74" i="11"/>
  <c r="IC74" i="11"/>
  <c r="ID74" i="11"/>
  <c r="IE74" i="11"/>
  <c r="IF74" i="11"/>
  <c r="IG74" i="11"/>
  <c r="IH74" i="11"/>
  <c r="II74" i="11"/>
  <c r="IJ74" i="11"/>
  <c r="IK74" i="11"/>
  <c r="IL74" i="11"/>
  <c r="IM74" i="11"/>
  <c r="IN74" i="11"/>
  <c r="IO74" i="11"/>
  <c r="IP74" i="11"/>
  <c r="IQ74" i="11"/>
  <c r="IR74" i="11"/>
  <c r="IS74" i="11"/>
  <c r="IT74" i="11"/>
  <c r="IU74" i="11"/>
  <c r="IV74" i="11"/>
  <c r="A73" i="11"/>
  <c r="B73" i="11"/>
  <c r="C73" i="11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W73" i="11"/>
  <c r="X73" i="11"/>
  <c r="Y73" i="11"/>
  <c r="Z73" i="11"/>
  <c r="AA73" i="11"/>
  <c r="AB73" i="11"/>
  <c r="AC73" i="11"/>
  <c r="AD73" i="11"/>
  <c r="AE73" i="11"/>
  <c r="AF73" i="11"/>
  <c r="AG73" i="11"/>
  <c r="AH73" i="11"/>
  <c r="AI73" i="11"/>
  <c r="AJ73" i="11"/>
  <c r="AK73" i="11"/>
  <c r="AL73" i="11"/>
  <c r="AM73" i="11"/>
  <c r="AN73" i="11"/>
  <c r="AO73" i="11"/>
  <c r="AP73" i="11"/>
  <c r="AQ73" i="11"/>
  <c r="AR73" i="11"/>
  <c r="AS73" i="11"/>
  <c r="AT73" i="11"/>
  <c r="AU73" i="11"/>
  <c r="AV73" i="11"/>
  <c r="AW73" i="11"/>
  <c r="AX73" i="11"/>
  <c r="AY73" i="11"/>
  <c r="AZ73" i="11"/>
  <c r="BA73" i="11"/>
  <c r="BB73" i="11"/>
  <c r="BC73" i="11"/>
  <c r="BD73" i="11"/>
  <c r="BE73" i="11"/>
  <c r="BF73" i="11"/>
  <c r="BG73" i="11"/>
  <c r="BH73" i="11"/>
  <c r="BI73" i="11"/>
  <c r="BJ73" i="11"/>
  <c r="BK73" i="11"/>
  <c r="BL73" i="11"/>
  <c r="BM73" i="11"/>
  <c r="BN73" i="11"/>
  <c r="BO73" i="11"/>
  <c r="BP73" i="11"/>
  <c r="BQ73" i="11"/>
  <c r="BR73" i="11"/>
  <c r="BS73" i="11"/>
  <c r="BT73" i="11"/>
  <c r="BU73" i="11"/>
  <c r="BV73" i="11"/>
  <c r="BW73" i="11"/>
  <c r="BX73" i="11"/>
  <c r="BY73" i="11"/>
  <c r="BZ73" i="11"/>
  <c r="CA73" i="11"/>
  <c r="CB73" i="11"/>
  <c r="CC73" i="11"/>
  <c r="CD73" i="11"/>
  <c r="CE73" i="11"/>
  <c r="CF73" i="11"/>
  <c r="CG73" i="11"/>
  <c r="CH73" i="11"/>
  <c r="CI73" i="11"/>
  <c r="CJ73" i="11"/>
  <c r="CK73" i="11"/>
  <c r="CL73" i="11"/>
  <c r="CM73" i="11"/>
  <c r="CN73" i="11"/>
  <c r="CO73" i="11"/>
  <c r="CP73" i="11"/>
  <c r="CQ73" i="11"/>
  <c r="CR73" i="11"/>
  <c r="CS73" i="11"/>
  <c r="CT73" i="11"/>
  <c r="CU73" i="11"/>
  <c r="CV73" i="11"/>
  <c r="CW73" i="11"/>
  <c r="CX73" i="11"/>
  <c r="CY73" i="11"/>
  <c r="CZ73" i="11"/>
  <c r="DA73" i="11"/>
  <c r="DB73" i="11"/>
  <c r="DC73" i="11"/>
  <c r="DD73" i="11"/>
  <c r="DE73" i="11"/>
  <c r="DF73" i="11"/>
  <c r="DG73" i="11"/>
  <c r="DH73" i="11"/>
  <c r="DI73" i="11"/>
  <c r="DJ73" i="11"/>
  <c r="DK73" i="11"/>
  <c r="DL73" i="11"/>
  <c r="DM73" i="11"/>
  <c r="DN73" i="11"/>
  <c r="DO73" i="11"/>
  <c r="DP73" i="11"/>
  <c r="DQ73" i="11"/>
  <c r="DR73" i="11"/>
  <c r="DS73" i="11"/>
  <c r="DT73" i="11"/>
  <c r="DU73" i="11"/>
  <c r="DV73" i="11"/>
  <c r="DW73" i="11"/>
  <c r="DX73" i="11"/>
  <c r="DY73" i="11"/>
  <c r="DZ73" i="11"/>
  <c r="EA73" i="11"/>
  <c r="EB73" i="11"/>
  <c r="EC73" i="11"/>
  <c r="ED73" i="11"/>
  <c r="EE73" i="11"/>
  <c r="EF73" i="11"/>
  <c r="EG73" i="11"/>
  <c r="EH73" i="11"/>
  <c r="EI73" i="11"/>
  <c r="EJ73" i="11"/>
  <c r="EK73" i="11"/>
  <c r="EL73" i="11"/>
  <c r="EM73" i="11"/>
  <c r="EN73" i="11"/>
  <c r="EO73" i="11"/>
  <c r="EP73" i="11"/>
  <c r="EQ73" i="11"/>
  <c r="ER73" i="11"/>
  <c r="ES73" i="11"/>
  <c r="ET73" i="11"/>
  <c r="EU73" i="11"/>
  <c r="EV73" i="11"/>
  <c r="EW73" i="11"/>
  <c r="EX73" i="11"/>
  <c r="EY73" i="11"/>
  <c r="EZ73" i="11"/>
  <c r="FA73" i="11"/>
  <c r="FB73" i="11"/>
  <c r="FC73" i="11"/>
  <c r="FD73" i="11"/>
  <c r="FE73" i="11"/>
  <c r="FF73" i="11"/>
  <c r="FG73" i="11"/>
  <c r="FH73" i="11"/>
  <c r="FI73" i="11"/>
  <c r="FJ73" i="11"/>
  <c r="FK73" i="11"/>
  <c r="FL73" i="11"/>
  <c r="FM73" i="11"/>
  <c r="FN73" i="11"/>
  <c r="FO73" i="11"/>
  <c r="FP73" i="11"/>
  <c r="FQ73" i="11"/>
  <c r="FR73" i="11"/>
  <c r="FS73" i="11"/>
  <c r="FT73" i="11"/>
  <c r="FU73" i="11"/>
  <c r="FV73" i="11"/>
  <c r="FW73" i="11"/>
  <c r="FX73" i="11"/>
  <c r="FY73" i="11"/>
  <c r="FZ73" i="11"/>
  <c r="GA73" i="11"/>
  <c r="GB73" i="11"/>
  <c r="GC73" i="11"/>
  <c r="GD73" i="11"/>
  <c r="GE73" i="11"/>
  <c r="GF73" i="11"/>
  <c r="GG73" i="11"/>
  <c r="GH73" i="11"/>
  <c r="GI73" i="11"/>
  <c r="GJ73" i="11"/>
  <c r="GK73" i="11"/>
  <c r="GL73" i="11"/>
  <c r="GM73" i="11"/>
  <c r="GN73" i="11"/>
  <c r="GO73" i="11"/>
  <c r="GP73" i="11"/>
  <c r="GQ73" i="11"/>
  <c r="GR73" i="11"/>
  <c r="GS73" i="11"/>
  <c r="GT73" i="11"/>
  <c r="GU73" i="11"/>
  <c r="GV73" i="11"/>
  <c r="GW73" i="11"/>
  <c r="GX73" i="11"/>
  <c r="GY73" i="11"/>
  <c r="GZ73" i="11"/>
  <c r="HA73" i="11"/>
  <c r="HB73" i="11"/>
  <c r="HC73" i="11"/>
  <c r="HD73" i="11"/>
  <c r="HE73" i="11"/>
  <c r="HF73" i="11"/>
  <c r="HG73" i="11"/>
  <c r="HH73" i="11"/>
  <c r="HI73" i="11"/>
  <c r="HJ73" i="11"/>
  <c r="HK73" i="11"/>
  <c r="HL73" i="11"/>
  <c r="HM73" i="11"/>
  <c r="HN73" i="11"/>
  <c r="HO73" i="11"/>
  <c r="HP73" i="11"/>
  <c r="HQ73" i="11"/>
  <c r="HR73" i="11"/>
  <c r="HS73" i="11"/>
  <c r="HT73" i="11"/>
  <c r="HU73" i="11"/>
  <c r="HV73" i="11"/>
  <c r="HW73" i="11"/>
  <c r="HX73" i="11"/>
  <c r="HY73" i="11"/>
  <c r="HZ73" i="11"/>
  <c r="IA73" i="11"/>
  <c r="IB73" i="11"/>
  <c r="IC73" i="11"/>
  <c r="ID73" i="11"/>
  <c r="IE73" i="11"/>
  <c r="IF73" i="11"/>
  <c r="IG73" i="11"/>
  <c r="IH73" i="11"/>
  <c r="II73" i="11"/>
  <c r="IJ73" i="11"/>
  <c r="IK73" i="11"/>
  <c r="IL73" i="11"/>
  <c r="IM73" i="11"/>
  <c r="IN73" i="11"/>
  <c r="IO73" i="11"/>
  <c r="IP73" i="11"/>
  <c r="IQ73" i="11"/>
  <c r="IR73" i="11"/>
  <c r="IS73" i="11"/>
  <c r="IT73" i="11"/>
  <c r="IU73" i="11"/>
  <c r="IV73" i="11"/>
  <c r="A72" i="11"/>
  <c r="B72" i="11"/>
  <c r="C72" i="11"/>
  <c r="D72" i="11"/>
  <c r="E72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V72" i="11"/>
  <c r="W72" i="11"/>
  <c r="X72" i="11"/>
  <c r="Y72" i="11"/>
  <c r="Z72" i="11"/>
  <c r="AA72" i="11"/>
  <c r="AB72" i="11"/>
  <c r="AC72" i="11"/>
  <c r="AD72" i="11"/>
  <c r="AE72" i="11"/>
  <c r="AF72" i="11"/>
  <c r="AG72" i="11"/>
  <c r="AH72" i="11"/>
  <c r="AI72" i="11"/>
  <c r="AJ72" i="11"/>
  <c r="AK72" i="11"/>
  <c r="AL72" i="11"/>
  <c r="AM72" i="11"/>
  <c r="AN72" i="11"/>
  <c r="AO72" i="11"/>
  <c r="AP72" i="11"/>
  <c r="AQ72" i="11"/>
  <c r="AR72" i="11"/>
  <c r="AS72" i="11"/>
  <c r="AT72" i="11"/>
  <c r="AU72" i="11"/>
  <c r="AV72" i="11"/>
  <c r="AW72" i="11"/>
  <c r="AX72" i="11"/>
  <c r="AY72" i="11"/>
  <c r="AZ72" i="11"/>
  <c r="BA72" i="11"/>
  <c r="BB72" i="11"/>
  <c r="BC72" i="11"/>
  <c r="BD72" i="11"/>
  <c r="BE72" i="11"/>
  <c r="BF72" i="11"/>
  <c r="BG72" i="11"/>
  <c r="BH72" i="11"/>
  <c r="BI72" i="11"/>
  <c r="BJ72" i="11"/>
  <c r="BK72" i="11"/>
  <c r="BL72" i="11"/>
  <c r="BM72" i="11"/>
  <c r="BN72" i="11"/>
  <c r="BO72" i="11"/>
  <c r="BP72" i="11"/>
  <c r="BQ72" i="11"/>
  <c r="BR72" i="11"/>
  <c r="BS72" i="11"/>
  <c r="BT72" i="11"/>
  <c r="BU72" i="11"/>
  <c r="BV72" i="11"/>
  <c r="BW72" i="11"/>
  <c r="BX72" i="11"/>
  <c r="BY72" i="11"/>
  <c r="BZ72" i="11"/>
  <c r="CA72" i="11"/>
  <c r="CB72" i="11"/>
  <c r="CC72" i="11"/>
  <c r="CD72" i="11"/>
  <c r="CE72" i="11"/>
  <c r="CF72" i="11"/>
  <c r="CG72" i="11"/>
  <c r="CH72" i="11"/>
  <c r="CI72" i="11"/>
  <c r="CJ72" i="11"/>
  <c r="CK72" i="11"/>
  <c r="CL72" i="11"/>
  <c r="CM72" i="11"/>
  <c r="CN72" i="11"/>
  <c r="CO72" i="11"/>
  <c r="CP72" i="11"/>
  <c r="CQ72" i="11"/>
  <c r="CR72" i="11"/>
  <c r="CS72" i="11"/>
  <c r="CT72" i="11"/>
  <c r="CU72" i="11"/>
  <c r="CV72" i="11"/>
  <c r="CW72" i="11"/>
  <c r="CX72" i="11"/>
  <c r="CY72" i="11"/>
  <c r="CZ72" i="11"/>
  <c r="DA72" i="11"/>
  <c r="DB72" i="11"/>
  <c r="DC72" i="11"/>
  <c r="DD72" i="11"/>
  <c r="DE72" i="11"/>
  <c r="DF72" i="11"/>
  <c r="DG72" i="11"/>
  <c r="DH72" i="11"/>
  <c r="DI72" i="11"/>
  <c r="DJ72" i="11"/>
  <c r="DK72" i="11"/>
  <c r="DL72" i="11"/>
  <c r="DM72" i="11"/>
  <c r="DN72" i="11"/>
  <c r="DO72" i="11"/>
  <c r="DP72" i="11"/>
  <c r="DQ72" i="11"/>
  <c r="DR72" i="11"/>
  <c r="DS72" i="11"/>
  <c r="DT72" i="11"/>
  <c r="DU72" i="11"/>
  <c r="DV72" i="11"/>
  <c r="DW72" i="11"/>
  <c r="DX72" i="11"/>
  <c r="DY72" i="11"/>
  <c r="DZ72" i="11"/>
  <c r="EA72" i="11"/>
  <c r="EB72" i="11"/>
  <c r="EC72" i="11"/>
  <c r="ED72" i="11"/>
  <c r="EE72" i="11"/>
  <c r="EF72" i="11"/>
  <c r="EG72" i="11"/>
  <c r="EH72" i="11"/>
  <c r="EI72" i="11"/>
  <c r="EJ72" i="11"/>
  <c r="EK72" i="11"/>
  <c r="EL72" i="11"/>
  <c r="EM72" i="11"/>
  <c r="EN72" i="11"/>
  <c r="EO72" i="11"/>
  <c r="EP72" i="11"/>
  <c r="EQ72" i="11"/>
  <c r="ER72" i="11"/>
  <c r="ES72" i="11"/>
  <c r="ET72" i="11"/>
  <c r="EU72" i="11"/>
  <c r="EV72" i="11"/>
  <c r="EW72" i="11"/>
  <c r="EX72" i="11"/>
  <c r="EY72" i="11"/>
  <c r="EZ72" i="11"/>
  <c r="FA72" i="11"/>
  <c r="FB72" i="11"/>
  <c r="FC72" i="11"/>
  <c r="FD72" i="11"/>
  <c r="FE72" i="11"/>
  <c r="FF72" i="11"/>
  <c r="FG72" i="11"/>
  <c r="FH72" i="11"/>
  <c r="FI72" i="11"/>
  <c r="FJ72" i="11"/>
  <c r="FK72" i="11"/>
  <c r="FL72" i="11"/>
  <c r="FM72" i="11"/>
  <c r="FN72" i="11"/>
  <c r="FO72" i="11"/>
  <c r="FP72" i="11"/>
  <c r="FQ72" i="11"/>
  <c r="FR72" i="11"/>
  <c r="FS72" i="11"/>
  <c r="FT72" i="11"/>
  <c r="FU72" i="11"/>
  <c r="FV72" i="11"/>
  <c r="FW72" i="11"/>
  <c r="FX72" i="11"/>
  <c r="FY72" i="11"/>
  <c r="FZ72" i="11"/>
  <c r="GA72" i="11"/>
  <c r="GB72" i="11"/>
  <c r="GC72" i="11"/>
  <c r="GD72" i="11"/>
  <c r="GE72" i="11"/>
  <c r="GF72" i="11"/>
  <c r="GG72" i="11"/>
  <c r="GH72" i="11"/>
  <c r="GI72" i="11"/>
  <c r="GJ72" i="11"/>
  <c r="GK72" i="11"/>
  <c r="GL72" i="11"/>
  <c r="GM72" i="11"/>
  <c r="GN72" i="11"/>
  <c r="GO72" i="11"/>
  <c r="GP72" i="11"/>
  <c r="GQ72" i="11"/>
  <c r="GR72" i="11"/>
  <c r="GS72" i="11"/>
  <c r="GT72" i="11"/>
  <c r="GU72" i="11"/>
  <c r="GV72" i="11"/>
  <c r="GW72" i="11"/>
  <c r="GX72" i="11"/>
  <c r="GY72" i="11"/>
  <c r="GZ72" i="11"/>
  <c r="HA72" i="11"/>
  <c r="HB72" i="11"/>
  <c r="HC72" i="11"/>
  <c r="HD72" i="11"/>
  <c r="HE72" i="11"/>
  <c r="HF72" i="11"/>
  <c r="HG72" i="11"/>
  <c r="HH72" i="11"/>
  <c r="HI72" i="11"/>
  <c r="HJ72" i="11"/>
  <c r="HK72" i="11"/>
  <c r="HL72" i="11"/>
  <c r="HM72" i="11"/>
  <c r="HN72" i="11"/>
  <c r="HO72" i="11"/>
  <c r="HP72" i="11"/>
  <c r="HQ72" i="11"/>
  <c r="HR72" i="11"/>
  <c r="HS72" i="11"/>
  <c r="HT72" i="11"/>
  <c r="HU72" i="11"/>
  <c r="HV72" i="11"/>
  <c r="HW72" i="11"/>
  <c r="HX72" i="11"/>
  <c r="HY72" i="11"/>
  <c r="HZ72" i="11"/>
  <c r="IA72" i="11"/>
  <c r="IB72" i="11"/>
  <c r="IC72" i="11"/>
  <c r="ID72" i="11"/>
  <c r="IE72" i="11"/>
  <c r="IF72" i="11"/>
  <c r="IG72" i="11"/>
  <c r="IH72" i="11"/>
  <c r="II72" i="11"/>
  <c r="IJ72" i="11"/>
  <c r="IK72" i="11"/>
  <c r="IL72" i="11"/>
  <c r="IM72" i="11"/>
  <c r="IN72" i="11"/>
  <c r="IO72" i="11"/>
  <c r="IP72" i="11"/>
  <c r="IQ72" i="11"/>
  <c r="IR72" i="11"/>
  <c r="IS72" i="11"/>
  <c r="IT72" i="11"/>
  <c r="IU72" i="11"/>
  <c r="IV72" i="11"/>
  <c r="A71" i="11"/>
  <c r="B71" i="11"/>
  <c r="C71" i="11"/>
  <c r="D71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Z71" i="11"/>
  <c r="AA71" i="11"/>
  <c r="AB71" i="11"/>
  <c r="AC71" i="11"/>
  <c r="AD71" i="11"/>
  <c r="AE71" i="11"/>
  <c r="AF71" i="11"/>
  <c r="AG71" i="11"/>
  <c r="AH71" i="11"/>
  <c r="AI71" i="11"/>
  <c r="AJ71" i="11"/>
  <c r="AK71" i="11"/>
  <c r="AL71" i="11"/>
  <c r="AM71" i="11"/>
  <c r="AN71" i="11"/>
  <c r="AO71" i="11"/>
  <c r="AP71" i="11"/>
  <c r="AQ71" i="11"/>
  <c r="AR71" i="11"/>
  <c r="AS71" i="11"/>
  <c r="AT71" i="11"/>
  <c r="AU71" i="11"/>
  <c r="AV71" i="11"/>
  <c r="AW71" i="11"/>
  <c r="AX71" i="11"/>
  <c r="AY71" i="11"/>
  <c r="AZ71" i="11"/>
  <c r="BA71" i="11"/>
  <c r="BB71" i="11"/>
  <c r="BC71" i="11"/>
  <c r="BD71" i="11"/>
  <c r="BE71" i="11"/>
  <c r="BF71" i="11"/>
  <c r="BG71" i="11"/>
  <c r="BH71" i="11"/>
  <c r="BI71" i="11"/>
  <c r="BJ71" i="11"/>
  <c r="BK71" i="11"/>
  <c r="BL71" i="11"/>
  <c r="BM71" i="11"/>
  <c r="BN71" i="11"/>
  <c r="BO71" i="11"/>
  <c r="BP71" i="11"/>
  <c r="BQ71" i="11"/>
  <c r="BR71" i="11"/>
  <c r="BS71" i="11"/>
  <c r="BT71" i="11"/>
  <c r="BU71" i="11"/>
  <c r="BV71" i="11"/>
  <c r="BW71" i="11"/>
  <c r="BX71" i="11"/>
  <c r="BY71" i="11"/>
  <c r="BZ71" i="11"/>
  <c r="CA71" i="11"/>
  <c r="CB71" i="11"/>
  <c r="CC71" i="11"/>
  <c r="CD71" i="11"/>
  <c r="CE71" i="11"/>
  <c r="CF71" i="11"/>
  <c r="CG71" i="11"/>
  <c r="CH71" i="11"/>
  <c r="CI71" i="11"/>
  <c r="CJ71" i="11"/>
  <c r="CK71" i="11"/>
  <c r="CL71" i="11"/>
  <c r="CM71" i="11"/>
  <c r="CN71" i="11"/>
  <c r="CO71" i="11"/>
  <c r="CP71" i="11"/>
  <c r="CQ71" i="11"/>
  <c r="CR71" i="11"/>
  <c r="CS71" i="11"/>
  <c r="CT71" i="11"/>
  <c r="CU71" i="11"/>
  <c r="CV71" i="11"/>
  <c r="CW71" i="11"/>
  <c r="CX71" i="11"/>
  <c r="CY71" i="11"/>
  <c r="CZ71" i="11"/>
  <c r="DA71" i="11"/>
  <c r="DB71" i="11"/>
  <c r="DC71" i="11"/>
  <c r="DD71" i="11"/>
  <c r="DE71" i="11"/>
  <c r="DF71" i="11"/>
  <c r="DG71" i="11"/>
  <c r="DH71" i="11"/>
  <c r="DI71" i="11"/>
  <c r="DJ71" i="11"/>
  <c r="DK71" i="11"/>
  <c r="DL71" i="11"/>
  <c r="DM71" i="11"/>
  <c r="DN71" i="11"/>
  <c r="DO71" i="11"/>
  <c r="DP71" i="11"/>
  <c r="DQ71" i="11"/>
  <c r="DR71" i="11"/>
  <c r="DS71" i="11"/>
  <c r="DT71" i="11"/>
  <c r="DU71" i="11"/>
  <c r="DV71" i="11"/>
  <c r="DW71" i="11"/>
  <c r="DX71" i="11"/>
  <c r="DY71" i="11"/>
  <c r="DZ71" i="11"/>
  <c r="EA71" i="11"/>
  <c r="EB71" i="11"/>
  <c r="EC71" i="11"/>
  <c r="ED71" i="11"/>
  <c r="EE71" i="11"/>
  <c r="EF71" i="11"/>
  <c r="EG71" i="11"/>
  <c r="EH71" i="11"/>
  <c r="EI71" i="11"/>
  <c r="EJ71" i="11"/>
  <c r="EK71" i="11"/>
  <c r="EL71" i="11"/>
  <c r="EM71" i="11"/>
  <c r="EN71" i="11"/>
  <c r="EO71" i="11"/>
  <c r="EP71" i="11"/>
  <c r="EQ71" i="11"/>
  <c r="ER71" i="11"/>
  <c r="ES71" i="11"/>
  <c r="ET71" i="11"/>
  <c r="EU71" i="11"/>
  <c r="EV71" i="11"/>
  <c r="EW71" i="11"/>
  <c r="EX71" i="11"/>
  <c r="EY71" i="11"/>
  <c r="EZ71" i="11"/>
  <c r="FA71" i="11"/>
  <c r="FB71" i="11"/>
  <c r="FC71" i="11"/>
  <c r="FD71" i="11"/>
  <c r="FE71" i="11"/>
  <c r="FF71" i="11"/>
  <c r="FG71" i="11"/>
  <c r="FH71" i="11"/>
  <c r="FI71" i="11"/>
  <c r="FJ71" i="11"/>
  <c r="FK71" i="11"/>
  <c r="FL71" i="11"/>
  <c r="FM71" i="11"/>
  <c r="FN71" i="11"/>
  <c r="FO71" i="11"/>
  <c r="FP71" i="11"/>
  <c r="FQ71" i="11"/>
  <c r="FR71" i="11"/>
  <c r="FS71" i="11"/>
  <c r="FT71" i="11"/>
  <c r="FU71" i="11"/>
  <c r="FV71" i="11"/>
  <c r="FW71" i="11"/>
  <c r="FX71" i="11"/>
  <c r="FY71" i="11"/>
  <c r="FZ71" i="11"/>
  <c r="GA71" i="11"/>
  <c r="GB71" i="11"/>
  <c r="GC71" i="11"/>
  <c r="GD71" i="11"/>
  <c r="GE71" i="11"/>
  <c r="GF71" i="11"/>
  <c r="GG71" i="11"/>
  <c r="GH71" i="11"/>
  <c r="GI71" i="11"/>
  <c r="GJ71" i="11"/>
  <c r="GK71" i="11"/>
  <c r="GL71" i="11"/>
  <c r="GM71" i="11"/>
  <c r="GN71" i="11"/>
  <c r="GO71" i="11"/>
  <c r="GP71" i="11"/>
  <c r="GQ71" i="11"/>
  <c r="GR71" i="11"/>
  <c r="GS71" i="11"/>
  <c r="GT71" i="11"/>
  <c r="GU71" i="11"/>
  <c r="GV71" i="11"/>
  <c r="GW71" i="11"/>
  <c r="GX71" i="11"/>
  <c r="GY71" i="11"/>
  <c r="GZ71" i="11"/>
  <c r="HA71" i="11"/>
  <c r="HB71" i="11"/>
  <c r="HC71" i="11"/>
  <c r="HD71" i="11"/>
  <c r="HE71" i="11"/>
  <c r="HF71" i="11"/>
  <c r="HG71" i="11"/>
  <c r="HH71" i="11"/>
  <c r="HI71" i="11"/>
  <c r="HJ71" i="11"/>
  <c r="HK71" i="11"/>
  <c r="HL71" i="11"/>
  <c r="HM71" i="11"/>
  <c r="HN71" i="11"/>
  <c r="HO71" i="11"/>
  <c r="HP71" i="11"/>
  <c r="HQ71" i="11"/>
  <c r="HR71" i="11"/>
  <c r="HS71" i="11"/>
  <c r="HT71" i="11"/>
  <c r="HU71" i="11"/>
  <c r="HV71" i="11"/>
  <c r="HW71" i="11"/>
  <c r="HX71" i="11"/>
  <c r="HY71" i="11"/>
  <c r="HZ71" i="11"/>
  <c r="IA71" i="11"/>
  <c r="IB71" i="11"/>
  <c r="IC71" i="11"/>
  <c r="ID71" i="11"/>
  <c r="IE71" i="11"/>
  <c r="IF71" i="11"/>
  <c r="IG71" i="11"/>
  <c r="IH71" i="11"/>
  <c r="II71" i="11"/>
  <c r="IJ71" i="11"/>
  <c r="IK71" i="11"/>
  <c r="IL71" i="11"/>
  <c r="IM71" i="11"/>
  <c r="IN71" i="11"/>
  <c r="IO71" i="11"/>
  <c r="IP71" i="11"/>
  <c r="IQ71" i="11"/>
  <c r="IR71" i="11"/>
  <c r="IS71" i="11"/>
  <c r="IT71" i="11"/>
  <c r="IU71" i="11"/>
  <c r="IV71" i="11"/>
  <c r="A70" i="11"/>
  <c r="B70" i="11"/>
  <c r="C70" i="11"/>
  <c r="D70" i="11"/>
  <c r="E70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V70" i="11"/>
  <c r="W70" i="11"/>
  <c r="X70" i="11"/>
  <c r="Y70" i="11"/>
  <c r="Z70" i="11"/>
  <c r="AA70" i="11"/>
  <c r="AB70" i="11"/>
  <c r="AC70" i="11"/>
  <c r="AD70" i="11"/>
  <c r="AE70" i="11"/>
  <c r="AF70" i="11"/>
  <c r="AG70" i="11"/>
  <c r="AH70" i="11"/>
  <c r="AI70" i="11"/>
  <c r="AJ70" i="11"/>
  <c r="AK70" i="11"/>
  <c r="AL70" i="11"/>
  <c r="AM70" i="11"/>
  <c r="AN70" i="11"/>
  <c r="AO70" i="11"/>
  <c r="AP70" i="11"/>
  <c r="AQ70" i="11"/>
  <c r="AR70" i="11"/>
  <c r="AS70" i="11"/>
  <c r="AT70" i="11"/>
  <c r="AU70" i="11"/>
  <c r="AV70" i="11"/>
  <c r="AW70" i="11"/>
  <c r="AX70" i="11"/>
  <c r="AY70" i="11"/>
  <c r="AZ70" i="11"/>
  <c r="BA70" i="11"/>
  <c r="BB70" i="11"/>
  <c r="BC70" i="11"/>
  <c r="BD70" i="11"/>
  <c r="BE70" i="11"/>
  <c r="BF70" i="11"/>
  <c r="BG70" i="11"/>
  <c r="BH70" i="11"/>
  <c r="BI70" i="11"/>
  <c r="BJ70" i="11"/>
  <c r="BK70" i="11"/>
  <c r="BL70" i="11"/>
  <c r="BM70" i="11"/>
  <c r="BN70" i="11"/>
  <c r="BO70" i="11"/>
  <c r="BP70" i="11"/>
  <c r="BQ70" i="11"/>
  <c r="BR70" i="11"/>
  <c r="BS70" i="11"/>
  <c r="BT70" i="11"/>
  <c r="BU70" i="11"/>
  <c r="BV70" i="11"/>
  <c r="BW70" i="11"/>
  <c r="BX70" i="11"/>
  <c r="BY70" i="11"/>
  <c r="BZ70" i="11"/>
  <c r="CA70" i="11"/>
  <c r="CB70" i="11"/>
  <c r="CC70" i="11"/>
  <c r="CD70" i="11"/>
  <c r="CE70" i="11"/>
  <c r="CF70" i="11"/>
  <c r="CG70" i="11"/>
  <c r="CH70" i="11"/>
  <c r="CI70" i="11"/>
  <c r="CJ70" i="11"/>
  <c r="CK70" i="11"/>
  <c r="CL70" i="11"/>
  <c r="CM70" i="11"/>
  <c r="CN70" i="11"/>
  <c r="CO70" i="11"/>
  <c r="CP70" i="11"/>
  <c r="CQ70" i="11"/>
  <c r="CR70" i="11"/>
  <c r="CS70" i="11"/>
  <c r="CT70" i="11"/>
  <c r="CU70" i="11"/>
  <c r="CV70" i="11"/>
  <c r="CW70" i="11"/>
  <c r="CX70" i="11"/>
  <c r="CY70" i="11"/>
  <c r="CZ70" i="11"/>
  <c r="DA70" i="11"/>
  <c r="DB70" i="11"/>
  <c r="DC70" i="11"/>
  <c r="DD70" i="11"/>
  <c r="DE70" i="11"/>
  <c r="DF70" i="11"/>
  <c r="DG70" i="11"/>
  <c r="DH70" i="11"/>
  <c r="DI70" i="11"/>
  <c r="DJ70" i="11"/>
  <c r="DK70" i="11"/>
  <c r="DL70" i="11"/>
  <c r="DM70" i="11"/>
  <c r="DN70" i="11"/>
  <c r="DO70" i="11"/>
  <c r="DP70" i="11"/>
  <c r="DQ70" i="11"/>
  <c r="DR70" i="11"/>
  <c r="DS70" i="11"/>
  <c r="DT70" i="11"/>
  <c r="DU70" i="11"/>
  <c r="DV70" i="11"/>
  <c r="DW70" i="11"/>
  <c r="DX70" i="11"/>
  <c r="DY70" i="11"/>
  <c r="DZ70" i="11"/>
  <c r="EA70" i="11"/>
  <c r="EB70" i="11"/>
  <c r="EC70" i="11"/>
  <c r="ED70" i="11"/>
  <c r="EE70" i="11"/>
  <c r="EF70" i="11"/>
  <c r="EG70" i="11"/>
  <c r="EH70" i="11"/>
  <c r="EI70" i="11"/>
  <c r="EJ70" i="11"/>
  <c r="EK70" i="11"/>
  <c r="EL70" i="11"/>
  <c r="EM70" i="11"/>
  <c r="EN70" i="11"/>
  <c r="EO70" i="11"/>
  <c r="EP70" i="11"/>
  <c r="EQ70" i="11"/>
  <c r="ER70" i="11"/>
  <c r="ES70" i="11"/>
  <c r="ET70" i="11"/>
  <c r="EU70" i="11"/>
  <c r="EV70" i="11"/>
  <c r="EW70" i="11"/>
  <c r="EX70" i="11"/>
  <c r="EY70" i="11"/>
  <c r="EZ70" i="11"/>
  <c r="FA70" i="11"/>
  <c r="FB70" i="11"/>
  <c r="FC70" i="11"/>
  <c r="FD70" i="11"/>
  <c r="FE70" i="11"/>
  <c r="FF70" i="11"/>
  <c r="FG70" i="11"/>
  <c r="FH70" i="11"/>
  <c r="FI70" i="11"/>
  <c r="FJ70" i="11"/>
  <c r="FK70" i="11"/>
  <c r="FL70" i="11"/>
  <c r="FM70" i="11"/>
  <c r="FN70" i="11"/>
  <c r="FO70" i="11"/>
  <c r="FP70" i="11"/>
  <c r="FQ70" i="11"/>
  <c r="FR70" i="11"/>
  <c r="FS70" i="11"/>
  <c r="FT70" i="11"/>
  <c r="FU70" i="11"/>
  <c r="FV70" i="11"/>
  <c r="FW70" i="11"/>
  <c r="FX70" i="11"/>
  <c r="FY70" i="11"/>
  <c r="FZ70" i="11"/>
  <c r="GA70" i="11"/>
  <c r="GB70" i="11"/>
  <c r="GC70" i="11"/>
  <c r="GD70" i="11"/>
  <c r="GE70" i="11"/>
  <c r="GF70" i="11"/>
  <c r="GG70" i="11"/>
  <c r="GH70" i="11"/>
  <c r="GI70" i="11"/>
  <c r="GJ70" i="11"/>
  <c r="GK70" i="11"/>
  <c r="GL70" i="11"/>
  <c r="GM70" i="11"/>
  <c r="GN70" i="11"/>
  <c r="GO70" i="11"/>
  <c r="GP70" i="11"/>
  <c r="GQ70" i="11"/>
  <c r="GR70" i="11"/>
  <c r="GS70" i="11"/>
  <c r="GT70" i="11"/>
  <c r="GU70" i="11"/>
  <c r="GV70" i="11"/>
  <c r="GW70" i="11"/>
  <c r="GX70" i="11"/>
  <c r="GY70" i="11"/>
  <c r="GZ70" i="11"/>
  <c r="HA70" i="11"/>
  <c r="HB70" i="11"/>
  <c r="HC70" i="11"/>
  <c r="HD70" i="11"/>
  <c r="HE70" i="11"/>
  <c r="HF70" i="11"/>
  <c r="HG70" i="11"/>
  <c r="HH70" i="11"/>
  <c r="HI70" i="11"/>
  <c r="HJ70" i="11"/>
  <c r="HK70" i="11"/>
  <c r="HL70" i="11"/>
  <c r="HM70" i="11"/>
  <c r="HN70" i="11"/>
  <c r="HO70" i="11"/>
  <c r="HP70" i="11"/>
  <c r="HQ70" i="11"/>
  <c r="HR70" i="11"/>
  <c r="HS70" i="11"/>
  <c r="HT70" i="11"/>
  <c r="HU70" i="11"/>
  <c r="HV70" i="11"/>
  <c r="HW70" i="11"/>
  <c r="HX70" i="11"/>
  <c r="HY70" i="11"/>
  <c r="HZ70" i="11"/>
  <c r="IA70" i="11"/>
  <c r="IB70" i="11"/>
  <c r="IC70" i="11"/>
  <c r="ID70" i="11"/>
  <c r="IE70" i="11"/>
  <c r="IF70" i="11"/>
  <c r="IG70" i="11"/>
  <c r="IH70" i="11"/>
  <c r="II70" i="11"/>
  <c r="IJ70" i="11"/>
  <c r="IK70" i="11"/>
  <c r="IL70" i="11"/>
  <c r="IM70" i="11"/>
  <c r="IN70" i="11"/>
  <c r="IO70" i="11"/>
  <c r="IP70" i="11"/>
  <c r="IQ70" i="11"/>
  <c r="IR70" i="11"/>
  <c r="IS70" i="11"/>
  <c r="IT70" i="11"/>
  <c r="IU70" i="11"/>
  <c r="IV70" i="11"/>
  <c r="A69" i="11"/>
  <c r="B69" i="11"/>
  <c r="C69" i="11"/>
  <c r="D69" i="11"/>
  <c r="E69" i="11"/>
  <c r="F69" i="11"/>
  <c r="G69" i="11"/>
  <c r="H69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W69" i="11"/>
  <c r="X69" i="11"/>
  <c r="Y69" i="11"/>
  <c r="Z69" i="11"/>
  <c r="AA69" i="11"/>
  <c r="AB69" i="11"/>
  <c r="AC69" i="11"/>
  <c r="AD69" i="11"/>
  <c r="AE69" i="11"/>
  <c r="AF69" i="11"/>
  <c r="AG69" i="11"/>
  <c r="AH69" i="11"/>
  <c r="AI69" i="11"/>
  <c r="AJ69" i="11"/>
  <c r="AK69" i="11"/>
  <c r="AL69" i="11"/>
  <c r="AM69" i="11"/>
  <c r="AN69" i="11"/>
  <c r="AO69" i="11"/>
  <c r="AP69" i="11"/>
  <c r="AQ69" i="11"/>
  <c r="AR69" i="11"/>
  <c r="AS69" i="11"/>
  <c r="AT69" i="11"/>
  <c r="AU69" i="11"/>
  <c r="AV69" i="11"/>
  <c r="AW69" i="11"/>
  <c r="AX69" i="11"/>
  <c r="AY69" i="11"/>
  <c r="AZ69" i="11"/>
  <c r="BA69" i="11"/>
  <c r="BB69" i="11"/>
  <c r="BC69" i="11"/>
  <c r="BD69" i="11"/>
  <c r="BE69" i="11"/>
  <c r="BF69" i="11"/>
  <c r="BG69" i="11"/>
  <c r="BH69" i="11"/>
  <c r="BI69" i="11"/>
  <c r="BJ69" i="11"/>
  <c r="BK69" i="11"/>
  <c r="BL69" i="11"/>
  <c r="BM69" i="11"/>
  <c r="BN69" i="11"/>
  <c r="BO69" i="11"/>
  <c r="BP69" i="11"/>
  <c r="BQ69" i="11"/>
  <c r="BR69" i="11"/>
  <c r="BS69" i="11"/>
  <c r="BT69" i="11"/>
  <c r="BU69" i="11"/>
  <c r="BV69" i="11"/>
  <c r="BW69" i="11"/>
  <c r="BX69" i="11"/>
  <c r="BY69" i="11"/>
  <c r="BZ69" i="11"/>
  <c r="CA69" i="11"/>
  <c r="CB69" i="11"/>
  <c r="CC69" i="11"/>
  <c r="CD69" i="11"/>
  <c r="CE69" i="11"/>
  <c r="CF69" i="11"/>
  <c r="CG69" i="11"/>
  <c r="CH69" i="11"/>
  <c r="CI69" i="11"/>
  <c r="CJ69" i="11"/>
  <c r="CK69" i="11"/>
  <c r="CL69" i="11"/>
  <c r="CM69" i="11"/>
  <c r="CN69" i="11"/>
  <c r="CO69" i="11"/>
  <c r="CP69" i="11"/>
  <c r="CQ69" i="11"/>
  <c r="CR69" i="11"/>
  <c r="CS69" i="11"/>
  <c r="CT69" i="11"/>
  <c r="CU69" i="11"/>
  <c r="CV69" i="11"/>
  <c r="CW69" i="11"/>
  <c r="CX69" i="11"/>
  <c r="CY69" i="11"/>
  <c r="CZ69" i="11"/>
  <c r="DA69" i="11"/>
  <c r="DB69" i="11"/>
  <c r="DC69" i="11"/>
  <c r="DD69" i="11"/>
  <c r="DE69" i="11"/>
  <c r="DF69" i="11"/>
  <c r="DG69" i="11"/>
  <c r="DH69" i="11"/>
  <c r="DI69" i="11"/>
  <c r="DJ69" i="11"/>
  <c r="DK69" i="11"/>
  <c r="DL69" i="11"/>
  <c r="DM69" i="11"/>
  <c r="DN69" i="11"/>
  <c r="DO69" i="11"/>
  <c r="DP69" i="11"/>
  <c r="DQ69" i="11"/>
  <c r="DR69" i="11"/>
  <c r="DS69" i="11"/>
  <c r="DT69" i="11"/>
  <c r="DU69" i="11"/>
  <c r="DV69" i="11"/>
  <c r="DW69" i="11"/>
  <c r="DX69" i="11"/>
  <c r="DY69" i="11"/>
  <c r="DZ69" i="11"/>
  <c r="EA69" i="11"/>
  <c r="EB69" i="11"/>
  <c r="EC69" i="11"/>
  <c r="ED69" i="11"/>
  <c r="EE69" i="11"/>
  <c r="EF69" i="11"/>
  <c r="EG69" i="11"/>
  <c r="EH69" i="11"/>
  <c r="EI69" i="11"/>
  <c r="EJ69" i="11"/>
  <c r="EK69" i="11"/>
  <c r="EL69" i="11"/>
  <c r="EM69" i="11"/>
  <c r="EN69" i="11"/>
  <c r="EO69" i="11"/>
  <c r="EP69" i="11"/>
  <c r="EQ69" i="11"/>
  <c r="ER69" i="11"/>
  <c r="ES69" i="11"/>
  <c r="ET69" i="11"/>
  <c r="EU69" i="11"/>
  <c r="EV69" i="11"/>
  <c r="EW69" i="11"/>
  <c r="EX69" i="11"/>
  <c r="EY69" i="11"/>
  <c r="EZ69" i="11"/>
  <c r="FA69" i="11"/>
  <c r="FB69" i="11"/>
  <c r="FC69" i="11"/>
  <c r="FD69" i="11"/>
  <c r="FE69" i="11"/>
  <c r="FF69" i="11"/>
  <c r="FG69" i="11"/>
  <c r="FH69" i="11"/>
  <c r="FI69" i="11"/>
  <c r="FJ69" i="11"/>
  <c r="FK69" i="11"/>
  <c r="FL69" i="11"/>
  <c r="FM69" i="11"/>
  <c r="FN69" i="11"/>
  <c r="FO69" i="11"/>
  <c r="FP69" i="11"/>
  <c r="FQ69" i="11"/>
  <c r="FR69" i="11"/>
  <c r="FS69" i="11"/>
  <c r="FT69" i="11"/>
  <c r="FU69" i="11"/>
  <c r="FV69" i="11"/>
  <c r="FW69" i="11"/>
  <c r="FX69" i="11"/>
  <c r="FY69" i="11"/>
  <c r="FZ69" i="11"/>
  <c r="GA69" i="11"/>
  <c r="GB69" i="11"/>
  <c r="GC69" i="11"/>
  <c r="GD69" i="11"/>
  <c r="GE69" i="11"/>
  <c r="GF69" i="11"/>
  <c r="GG69" i="11"/>
  <c r="GH69" i="11"/>
  <c r="GI69" i="11"/>
  <c r="GJ69" i="11"/>
  <c r="GK69" i="11"/>
  <c r="GL69" i="11"/>
  <c r="GM69" i="11"/>
  <c r="GN69" i="11"/>
  <c r="GO69" i="11"/>
  <c r="GP69" i="11"/>
  <c r="GQ69" i="11"/>
  <c r="GR69" i="11"/>
  <c r="GS69" i="11"/>
  <c r="GT69" i="11"/>
  <c r="GU69" i="11"/>
  <c r="GV69" i="11"/>
  <c r="GW69" i="11"/>
  <c r="GX69" i="11"/>
  <c r="GY69" i="11"/>
  <c r="GZ69" i="11"/>
  <c r="HA69" i="11"/>
  <c r="HB69" i="11"/>
  <c r="HC69" i="11"/>
  <c r="HD69" i="11"/>
  <c r="HE69" i="11"/>
  <c r="HF69" i="11"/>
  <c r="HG69" i="11"/>
  <c r="HH69" i="11"/>
  <c r="HI69" i="11"/>
  <c r="HJ69" i="11"/>
  <c r="HK69" i="11"/>
  <c r="HL69" i="11"/>
  <c r="HM69" i="11"/>
  <c r="HN69" i="11"/>
  <c r="HO69" i="11"/>
  <c r="HP69" i="11"/>
  <c r="HQ69" i="11"/>
  <c r="HR69" i="11"/>
  <c r="HS69" i="11"/>
  <c r="HT69" i="11"/>
  <c r="HU69" i="11"/>
  <c r="HV69" i="11"/>
  <c r="HW69" i="11"/>
  <c r="HX69" i="11"/>
  <c r="HY69" i="11"/>
  <c r="HZ69" i="11"/>
  <c r="IA69" i="11"/>
  <c r="IB69" i="11"/>
  <c r="IC69" i="11"/>
  <c r="ID69" i="11"/>
  <c r="IE69" i="11"/>
  <c r="IF69" i="11"/>
  <c r="IG69" i="11"/>
  <c r="IH69" i="11"/>
  <c r="II69" i="11"/>
  <c r="IJ69" i="11"/>
  <c r="IK69" i="11"/>
  <c r="IL69" i="11"/>
  <c r="IM69" i="11"/>
  <c r="IN69" i="11"/>
  <c r="IO69" i="11"/>
  <c r="IP69" i="11"/>
  <c r="IQ69" i="11"/>
  <c r="IR69" i="11"/>
  <c r="IS69" i="11"/>
  <c r="IT69" i="11"/>
  <c r="IU69" i="11"/>
  <c r="IV69" i="11"/>
  <c r="A68" i="11"/>
  <c r="B68" i="11"/>
  <c r="C68" i="11"/>
  <c r="D68" i="11"/>
  <c r="E68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R68" i="11"/>
  <c r="S68" i="11"/>
  <c r="T68" i="11"/>
  <c r="U68" i="11"/>
  <c r="V68" i="11"/>
  <c r="W68" i="11"/>
  <c r="X68" i="11"/>
  <c r="Y68" i="11"/>
  <c r="Z68" i="11"/>
  <c r="AA68" i="11"/>
  <c r="AB68" i="11"/>
  <c r="AC68" i="11"/>
  <c r="AD68" i="11"/>
  <c r="AE68" i="11"/>
  <c r="AF68" i="11"/>
  <c r="AG68" i="11"/>
  <c r="AH68" i="11"/>
  <c r="AI68" i="11"/>
  <c r="AJ68" i="11"/>
  <c r="AK68" i="11"/>
  <c r="AL68" i="11"/>
  <c r="AM68" i="11"/>
  <c r="AN68" i="11"/>
  <c r="AO68" i="11"/>
  <c r="AP68" i="11"/>
  <c r="AQ68" i="11"/>
  <c r="AR68" i="11"/>
  <c r="AS68" i="11"/>
  <c r="AT68" i="11"/>
  <c r="AU68" i="11"/>
  <c r="AV68" i="11"/>
  <c r="AW68" i="11"/>
  <c r="AX68" i="11"/>
  <c r="AY68" i="11"/>
  <c r="AZ68" i="11"/>
  <c r="BA68" i="11"/>
  <c r="BB68" i="11"/>
  <c r="BC68" i="11"/>
  <c r="BD68" i="11"/>
  <c r="BE68" i="11"/>
  <c r="BF68" i="11"/>
  <c r="BG68" i="11"/>
  <c r="BH68" i="11"/>
  <c r="BI68" i="11"/>
  <c r="BJ68" i="11"/>
  <c r="BK68" i="11"/>
  <c r="BL68" i="11"/>
  <c r="BM68" i="11"/>
  <c r="BN68" i="11"/>
  <c r="BO68" i="11"/>
  <c r="BP68" i="11"/>
  <c r="BQ68" i="11"/>
  <c r="BR68" i="11"/>
  <c r="BS68" i="11"/>
  <c r="BT68" i="11"/>
  <c r="BU68" i="11"/>
  <c r="BV68" i="11"/>
  <c r="BW68" i="11"/>
  <c r="BX68" i="11"/>
  <c r="BY68" i="11"/>
  <c r="BZ68" i="11"/>
  <c r="CA68" i="11"/>
  <c r="CB68" i="11"/>
  <c r="CC68" i="11"/>
  <c r="CD68" i="11"/>
  <c r="CE68" i="11"/>
  <c r="CF68" i="11"/>
  <c r="CG68" i="11"/>
  <c r="CH68" i="11"/>
  <c r="CI68" i="11"/>
  <c r="CJ68" i="11"/>
  <c r="CK68" i="11"/>
  <c r="CL68" i="11"/>
  <c r="CM68" i="11"/>
  <c r="CN68" i="11"/>
  <c r="CO68" i="11"/>
  <c r="CP68" i="11"/>
  <c r="CQ68" i="11"/>
  <c r="CR68" i="11"/>
  <c r="CS68" i="11"/>
  <c r="CT68" i="11"/>
  <c r="CU68" i="11"/>
  <c r="CV68" i="11"/>
  <c r="CW68" i="11"/>
  <c r="CX68" i="11"/>
  <c r="CY68" i="11"/>
  <c r="CZ68" i="11"/>
  <c r="DA68" i="11"/>
  <c r="DB68" i="11"/>
  <c r="DC68" i="11"/>
  <c r="DD68" i="11"/>
  <c r="DE68" i="11"/>
  <c r="DF68" i="11"/>
  <c r="DG68" i="11"/>
  <c r="DH68" i="11"/>
  <c r="DI68" i="11"/>
  <c r="DJ68" i="11"/>
  <c r="DK68" i="11"/>
  <c r="DL68" i="11"/>
  <c r="DM68" i="11"/>
  <c r="DN68" i="11"/>
  <c r="DO68" i="11"/>
  <c r="DP68" i="11"/>
  <c r="DQ68" i="11"/>
  <c r="DR68" i="11"/>
  <c r="DS68" i="11"/>
  <c r="DT68" i="11"/>
  <c r="DU68" i="11"/>
  <c r="DV68" i="11"/>
  <c r="DW68" i="11"/>
  <c r="DX68" i="11"/>
  <c r="DY68" i="11"/>
  <c r="DZ68" i="11"/>
  <c r="EA68" i="11"/>
  <c r="EB68" i="11"/>
  <c r="EC68" i="11"/>
  <c r="ED68" i="11"/>
  <c r="EE68" i="11"/>
  <c r="EF68" i="11"/>
  <c r="EG68" i="11"/>
  <c r="EH68" i="11"/>
  <c r="EI68" i="11"/>
  <c r="EJ68" i="11"/>
  <c r="EK68" i="11"/>
  <c r="EL68" i="11"/>
  <c r="EM68" i="11"/>
  <c r="EN68" i="11"/>
  <c r="EO68" i="11"/>
  <c r="EP68" i="11"/>
  <c r="EQ68" i="11"/>
  <c r="ER68" i="11"/>
  <c r="ES68" i="11"/>
  <c r="ET68" i="11"/>
  <c r="EU68" i="11"/>
  <c r="EV68" i="11"/>
  <c r="EW68" i="11"/>
  <c r="EX68" i="11"/>
  <c r="EY68" i="11"/>
  <c r="EZ68" i="11"/>
  <c r="FA68" i="11"/>
  <c r="FB68" i="11"/>
  <c r="FC68" i="11"/>
  <c r="FD68" i="11"/>
  <c r="FE68" i="11"/>
  <c r="FF68" i="11"/>
  <c r="FG68" i="11"/>
  <c r="FH68" i="11"/>
  <c r="FI68" i="11"/>
  <c r="FJ68" i="11"/>
  <c r="FK68" i="11"/>
  <c r="FL68" i="11"/>
  <c r="FM68" i="11"/>
  <c r="FN68" i="11"/>
  <c r="FO68" i="11"/>
  <c r="FP68" i="11"/>
  <c r="FQ68" i="11"/>
  <c r="FR68" i="11"/>
  <c r="FS68" i="11"/>
  <c r="FT68" i="11"/>
  <c r="FU68" i="11"/>
  <c r="FV68" i="11"/>
  <c r="FW68" i="11"/>
  <c r="FX68" i="11"/>
  <c r="FY68" i="11"/>
  <c r="FZ68" i="11"/>
  <c r="GA68" i="11"/>
  <c r="GB68" i="11"/>
  <c r="GC68" i="11"/>
  <c r="GD68" i="11"/>
  <c r="GE68" i="11"/>
  <c r="GF68" i="11"/>
  <c r="GG68" i="11"/>
  <c r="GH68" i="11"/>
  <c r="GI68" i="11"/>
  <c r="GJ68" i="11"/>
  <c r="GK68" i="11"/>
  <c r="GL68" i="11"/>
  <c r="GM68" i="11"/>
  <c r="GN68" i="11"/>
  <c r="GO68" i="11"/>
  <c r="GP68" i="11"/>
  <c r="GQ68" i="11"/>
  <c r="GR68" i="11"/>
  <c r="GS68" i="11"/>
  <c r="GT68" i="11"/>
  <c r="GU68" i="11"/>
  <c r="GV68" i="11"/>
  <c r="GW68" i="11"/>
  <c r="GX68" i="11"/>
  <c r="GY68" i="11"/>
  <c r="GZ68" i="11"/>
  <c r="HA68" i="11"/>
  <c r="HB68" i="11"/>
  <c r="HC68" i="11"/>
  <c r="HD68" i="11"/>
  <c r="HE68" i="11"/>
  <c r="HF68" i="11"/>
  <c r="HG68" i="11"/>
  <c r="HH68" i="11"/>
  <c r="HI68" i="11"/>
  <c r="HJ68" i="11"/>
  <c r="HK68" i="11"/>
  <c r="HL68" i="11"/>
  <c r="HM68" i="11"/>
  <c r="HN68" i="11"/>
  <c r="HO68" i="11"/>
  <c r="HP68" i="11"/>
  <c r="HQ68" i="11"/>
  <c r="HR68" i="11"/>
  <c r="HS68" i="11"/>
  <c r="HT68" i="11"/>
  <c r="HU68" i="11"/>
  <c r="HV68" i="11"/>
  <c r="HW68" i="11"/>
  <c r="HX68" i="11"/>
  <c r="HY68" i="11"/>
  <c r="HZ68" i="11"/>
  <c r="IA68" i="11"/>
  <c r="IB68" i="11"/>
  <c r="IC68" i="11"/>
  <c r="ID68" i="11"/>
  <c r="IE68" i="11"/>
  <c r="IF68" i="11"/>
  <c r="IG68" i="11"/>
  <c r="IH68" i="11"/>
  <c r="II68" i="11"/>
  <c r="IJ68" i="11"/>
  <c r="IK68" i="11"/>
  <c r="IL68" i="11"/>
  <c r="IM68" i="11"/>
  <c r="IN68" i="11"/>
  <c r="IO68" i="11"/>
  <c r="IP68" i="11"/>
  <c r="IQ68" i="11"/>
  <c r="IR68" i="11"/>
  <c r="IS68" i="11"/>
  <c r="IT68" i="11"/>
  <c r="IU68" i="11"/>
  <c r="IV68" i="11"/>
  <c r="A67" i="11"/>
  <c r="B67" i="11"/>
  <c r="C67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S67" i="11"/>
  <c r="T67" i="11"/>
  <c r="U67" i="11"/>
  <c r="V67" i="11"/>
  <c r="W67" i="11"/>
  <c r="X67" i="11"/>
  <c r="Y67" i="11"/>
  <c r="Z67" i="11"/>
  <c r="AA67" i="11"/>
  <c r="AB67" i="11"/>
  <c r="AC67" i="11"/>
  <c r="AD67" i="11"/>
  <c r="AE67" i="11"/>
  <c r="AF67" i="11"/>
  <c r="AG67" i="11"/>
  <c r="AH67" i="11"/>
  <c r="AI67" i="11"/>
  <c r="AJ67" i="11"/>
  <c r="AK67" i="11"/>
  <c r="AL67" i="11"/>
  <c r="AM67" i="11"/>
  <c r="AN67" i="11"/>
  <c r="AO67" i="11"/>
  <c r="AP67" i="11"/>
  <c r="AQ67" i="11"/>
  <c r="AR67" i="11"/>
  <c r="AS67" i="11"/>
  <c r="AT67" i="11"/>
  <c r="AU67" i="11"/>
  <c r="AV67" i="11"/>
  <c r="AW67" i="11"/>
  <c r="AX67" i="11"/>
  <c r="AY67" i="11"/>
  <c r="AZ67" i="11"/>
  <c r="BA67" i="11"/>
  <c r="BB67" i="11"/>
  <c r="BC67" i="11"/>
  <c r="BD67" i="11"/>
  <c r="BE67" i="11"/>
  <c r="BF67" i="11"/>
  <c r="BG67" i="11"/>
  <c r="BH67" i="11"/>
  <c r="BI67" i="11"/>
  <c r="BJ67" i="11"/>
  <c r="BK67" i="11"/>
  <c r="BL67" i="11"/>
  <c r="BM67" i="11"/>
  <c r="BN67" i="11"/>
  <c r="BO67" i="11"/>
  <c r="BP67" i="11"/>
  <c r="BQ67" i="11"/>
  <c r="BR67" i="11"/>
  <c r="BS67" i="11"/>
  <c r="BT67" i="11"/>
  <c r="BU67" i="11"/>
  <c r="BV67" i="11"/>
  <c r="BW67" i="11"/>
  <c r="BX67" i="11"/>
  <c r="BY67" i="11"/>
  <c r="BZ67" i="11"/>
  <c r="CA67" i="11"/>
  <c r="CB67" i="11"/>
  <c r="CC67" i="11"/>
  <c r="CD67" i="11"/>
  <c r="CE67" i="11"/>
  <c r="CF67" i="11"/>
  <c r="CG67" i="11"/>
  <c r="CH67" i="11"/>
  <c r="CI67" i="11"/>
  <c r="CJ67" i="11"/>
  <c r="CK67" i="11"/>
  <c r="CL67" i="11"/>
  <c r="CM67" i="11"/>
  <c r="CN67" i="11"/>
  <c r="CO67" i="11"/>
  <c r="CP67" i="11"/>
  <c r="CQ67" i="11"/>
  <c r="CR67" i="11"/>
  <c r="CS67" i="11"/>
  <c r="CT67" i="11"/>
  <c r="CU67" i="11"/>
  <c r="CV67" i="11"/>
  <c r="CW67" i="11"/>
  <c r="CX67" i="11"/>
  <c r="CY67" i="11"/>
  <c r="CZ67" i="11"/>
  <c r="DA67" i="11"/>
  <c r="DB67" i="11"/>
  <c r="DC67" i="11"/>
  <c r="DD67" i="11"/>
  <c r="DE67" i="11"/>
  <c r="DF67" i="11"/>
  <c r="DG67" i="11"/>
  <c r="DH67" i="11"/>
  <c r="DI67" i="11"/>
  <c r="DJ67" i="11"/>
  <c r="DK67" i="11"/>
  <c r="DL67" i="11"/>
  <c r="DM67" i="11"/>
  <c r="DN67" i="11"/>
  <c r="DO67" i="11"/>
  <c r="DP67" i="11"/>
  <c r="DQ67" i="11"/>
  <c r="DR67" i="11"/>
  <c r="DS67" i="11"/>
  <c r="DT67" i="11"/>
  <c r="DU67" i="11"/>
  <c r="DV67" i="11"/>
  <c r="DW67" i="11"/>
  <c r="DX67" i="11"/>
  <c r="DY67" i="11"/>
  <c r="DZ67" i="11"/>
  <c r="EA67" i="11"/>
  <c r="EB67" i="11"/>
  <c r="EC67" i="11"/>
  <c r="ED67" i="11"/>
  <c r="EE67" i="11"/>
  <c r="EF67" i="11"/>
  <c r="EG67" i="11"/>
  <c r="EH67" i="11"/>
  <c r="EI67" i="11"/>
  <c r="EJ67" i="11"/>
  <c r="EK67" i="11"/>
  <c r="EL67" i="11"/>
  <c r="EM67" i="11"/>
  <c r="EN67" i="11"/>
  <c r="EO67" i="11"/>
  <c r="EP67" i="11"/>
  <c r="EQ67" i="11"/>
  <c r="ER67" i="11"/>
  <c r="ES67" i="11"/>
  <c r="ET67" i="11"/>
  <c r="EU67" i="11"/>
  <c r="EV67" i="11"/>
  <c r="EW67" i="11"/>
  <c r="EX67" i="11"/>
  <c r="EY67" i="11"/>
  <c r="EZ67" i="11"/>
  <c r="FA67" i="11"/>
  <c r="FB67" i="11"/>
  <c r="FC67" i="11"/>
  <c r="FD67" i="11"/>
  <c r="FE67" i="11"/>
  <c r="FF67" i="11"/>
  <c r="FG67" i="11"/>
  <c r="FH67" i="11"/>
  <c r="FI67" i="11"/>
  <c r="FJ67" i="11"/>
  <c r="FK67" i="11"/>
  <c r="FL67" i="11"/>
  <c r="FM67" i="11"/>
  <c r="FN67" i="11"/>
  <c r="FO67" i="11"/>
  <c r="FP67" i="11"/>
  <c r="FQ67" i="11"/>
  <c r="FR67" i="11"/>
  <c r="FS67" i="11"/>
  <c r="FT67" i="11"/>
  <c r="FU67" i="11"/>
  <c r="FV67" i="11"/>
  <c r="FW67" i="11"/>
  <c r="FX67" i="11"/>
  <c r="FY67" i="11"/>
  <c r="FZ67" i="11"/>
  <c r="GA67" i="11"/>
  <c r="GB67" i="11"/>
  <c r="GC67" i="11"/>
  <c r="GD67" i="11"/>
  <c r="GE67" i="11"/>
  <c r="GF67" i="11"/>
  <c r="GG67" i="11"/>
  <c r="GH67" i="11"/>
  <c r="GI67" i="11"/>
  <c r="GJ67" i="11"/>
  <c r="GK67" i="11"/>
  <c r="GL67" i="11"/>
  <c r="GM67" i="11"/>
  <c r="GN67" i="11"/>
  <c r="GO67" i="11"/>
  <c r="GP67" i="11"/>
  <c r="GQ67" i="11"/>
  <c r="GR67" i="11"/>
  <c r="GS67" i="11"/>
  <c r="GT67" i="11"/>
  <c r="GU67" i="11"/>
  <c r="GV67" i="11"/>
  <c r="GW67" i="11"/>
  <c r="GX67" i="11"/>
  <c r="GY67" i="11"/>
  <c r="GZ67" i="11"/>
  <c r="HA67" i="11"/>
  <c r="HB67" i="11"/>
  <c r="HC67" i="11"/>
  <c r="HD67" i="11"/>
  <c r="HE67" i="11"/>
  <c r="HF67" i="11"/>
  <c r="HG67" i="11"/>
  <c r="HH67" i="11"/>
  <c r="HI67" i="11"/>
  <c r="HJ67" i="11"/>
  <c r="HK67" i="11"/>
  <c r="HL67" i="11"/>
  <c r="HM67" i="11"/>
  <c r="HN67" i="11"/>
  <c r="HO67" i="11"/>
  <c r="HP67" i="11"/>
  <c r="HQ67" i="11"/>
  <c r="HR67" i="11"/>
  <c r="HS67" i="11"/>
  <c r="HT67" i="11"/>
  <c r="HU67" i="11"/>
  <c r="HV67" i="11"/>
  <c r="HW67" i="11"/>
  <c r="HX67" i="11"/>
  <c r="HY67" i="11"/>
  <c r="HZ67" i="11"/>
  <c r="IA67" i="11"/>
  <c r="IB67" i="11"/>
  <c r="IC67" i="11"/>
  <c r="ID67" i="11"/>
  <c r="IE67" i="11"/>
  <c r="IF67" i="11"/>
  <c r="IG67" i="11"/>
  <c r="IH67" i="11"/>
  <c r="II67" i="11"/>
  <c r="IJ67" i="11"/>
  <c r="IK67" i="11"/>
  <c r="IL67" i="11"/>
  <c r="IM67" i="11"/>
  <c r="IN67" i="11"/>
  <c r="IO67" i="11"/>
  <c r="IP67" i="11"/>
  <c r="IQ67" i="11"/>
  <c r="IR67" i="11"/>
  <c r="IS67" i="11"/>
  <c r="IT67" i="11"/>
  <c r="IU67" i="11"/>
  <c r="IV67" i="11"/>
  <c r="A66" i="11"/>
  <c r="B66" i="11"/>
  <c r="C66" i="11"/>
  <c r="D66" i="11"/>
  <c r="E66" i="11"/>
  <c r="F66" i="11"/>
  <c r="G66" i="11"/>
  <c r="H66" i="11"/>
  <c r="I66" i="11"/>
  <c r="J66" i="11"/>
  <c r="K66" i="11"/>
  <c r="L66" i="11"/>
  <c r="M66" i="11"/>
  <c r="N66" i="11"/>
  <c r="O66" i="11"/>
  <c r="P66" i="11"/>
  <c r="Q66" i="11"/>
  <c r="R66" i="11"/>
  <c r="S66" i="11"/>
  <c r="T66" i="11"/>
  <c r="U66" i="11"/>
  <c r="V66" i="11"/>
  <c r="W66" i="11"/>
  <c r="X66" i="11"/>
  <c r="Y66" i="11"/>
  <c r="Z66" i="11"/>
  <c r="AA66" i="11"/>
  <c r="AB66" i="11"/>
  <c r="AC66" i="11"/>
  <c r="AD66" i="11"/>
  <c r="AE66" i="11"/>
  <c r="AF66" i="11"/>
  <c r="AG66" i="11"/>
  <c r="AH66" i="11"/>
  <c r="AI66" i="11"/>
  <c r="AJ66" i="11"/>
  <c r="AK66" i="11"/>
  <c r="AL66" i="11"/>
  <c r="AM66" i="11"/>
  <c r="AN66" i="11"/>
  <c r="AO66" i="11"/>
  <c r="AP66" i="11"/>
  <c r="AQ66" i="11"/>
  <c r="AR66" i="11"/>
  <c r="AS66" i="11"/>
  <c r="AT66" i="11"/>
  <c r="AU66" i="11"/>
  <c r="AV66" i="11"/>
  <c r="AW66" i="11"/>
  <c r="AX66" i="11"/>
  <c r="AY66" i="11"/>
  <c r="AZ66" i="11"/>
  <c r="BA66" i="11"/>
  <c r="BB66" i="11"/>
  <c r="BC66" i="11"/>
  <c r="BD66" i="11"/>
  <c r="BE66" i="11"/>
  <c r="BF66" i="11"/>
  <c r="BG66" i="11"/>
  <c r="BH66" i="11"/>
  <c r="BI66" i="11"/>
  <c r="BJ66" i="11"/>
  <c r="BK66" i="11"/>
  <c r="BL66" i="11"/>
  <c r="BM66" i="11"/>
  <c r="BN66" i="11"/>
  <c r="BO66" i="11"/>
  <c r="BP66" i="11"/>
  <c r="BQ66" i="11"/>
  <c r="BR66" i="11"/>
  <c r="BS66" i="11"/>
  <c r="BT66" i="11"/>
  <c r="BU66" i="11"/>
  <c r="BV66" i="11"/>
  <c r="BW66" i="11"/>
  <c r="BX66" i="11"/>
  <c r="BY66" i="11"/>
  <c r="BZ66" i="11"/>
  <c r="CA66" i="11"/>
  <c r="CB66" i="11"/>
  <c r="CC66" i="11"/>
  <c r="CD66" i="11"/>
  <c r="CE66" i="11"/>
  <c r="CF66" i="11"/>
  <c r="CG66" i="11"/>
  <c r="CH66" i="11"/>
  <c r="CI66" i="11"/>
  <c r="CJ66" i="11"/>
  <c r="CK66" i="11"/>
  <c r="CL66" i="11"/>
  <c r="CM66" i="11"/>
  <c r="CN66" i="11"/>
  <c r="CO66" i="11"/>
  <c r="CP66" i="11"/>
  <c r="CQ66" i="11"/>
  <c r="CR66" i="11"/>
  <c r="CS66" i="11"/>
  <c r="CT66" i="11"/>
  <c r="CU66" i="11"/>
  <c r="CV66" i="11"/>
  <c r="CW66" i="11"/>
  <c r="CX66" i="11"/>
  <c r="CY66" i="11"/>
  <c r="CZ66" i="11"/>
  <c r="DA66" i="11"/>
  <c r="DB66" i="11"/>
  <c r="DC66" i="11"/>
  <c r="DD66" i="11"/>
  <c r="DE66" i="11"/>
  <c r="DF66" i="11"/>
  <c r="DG66" i="11"/>
  <c r="DH66" i="11"/>
  <c r="DI66" i="11"/>
  <c r="DJ66" i="11"/>
  <c r="DK66" i="11"/>
  <c r="DL66" i="11"/>
  <c r="DM66" i="11"/>
  <c r="DN66" i="11"/>
  <c r="DO66" i="11"/>
  <c r="DP66" i="11"/>
  <c r="DQ66" i="11"/>
  <c r="DR66" i="11"/>
  <c r="DS66" i="11"/>
  <c r="DT66" i="11"/>
  <c r="DU66" i="11"/>
  <c r="DV66" i="11"/>
  <c r="DW66" i="11"/>
  <c r="DX66" i="11"/>
  <c r="DY66" i="11"/>
  <c r="DZ66" i="11"/>
  <c r="EA66" i="11"/>
  <c r="EB66" i="11"/>
  <c r="EC66" i="11"/>
  <c r="ED66" i="11"/>
  <c r="EE66" i="11"/>
  <c r="EF66" i="11"/>
  <c r="EG66" i="11"/>
  <c r="EH66" i="11"/>
  <c r="EI66" i="11"/>
  <c r="EJ66" i="11"/>
  <c r="EK66" i="11"/>
  <c r="EL66" i="11"/>
  <c r="EM66" i="11"/>
  <c r="EN66" i="11"/>
  <c r="EO66" i="11"/>
  <c r="EP66" i="11"/>
  <c r="EQ66" i="11"/>
  <c r="ER66" i="11"/>
  <c r="ES66" i="11"/>
  <c r="ET66" i="11"/>
  <c r="EU66" i="11"/>
  <c r="EV66" i="11"/>
  <c r="EW66" i="11"/>
  <c r="EX66" i="11"/>
  <c r="EY66" i="11"/>
  <c r="EZ66" i="11"/>
  <c r="FA66" i="11"/>
  <c r="FB66" i="11"/>
  <c r="FC66" i="11"/>
  <c r="FD66" i="11"/>
  <c r="FE66" i="11"/>
  <c r="FF66" i="11"/>
  <c r="FG66" i="11"/>
  <c r="FH66" i="11"/>
  <c r="FI66" i="11"/>
  <c r="FJ66" i="11"/>
  <c r="FK66" i="11"/>
  <c r="FL66" i="11"/>
  <c r="FM66" i="11"/>
  <c r="FN66" i="11"/>
  <c r="FO66" i="11"/>
  <c r="FP66" i="11"/>
  <c r="FQ66" i="11"/>
  <c r="FR66" i="11"/>
  <c r="FS66" i="11"/>
  <c r="FT66" i="11"/>
  <c r="FU66" i="11"/>
  <c r="FV66" i="11"/>
  <c r="FW66" i="11"/>
  <c r="FX66" i="11"/>
  <c r="FY66" i="11"/>
  <c r="FZ66" i="11"/>
  <c r="GA66" i="11"/>
  <c r="GB66" i="11"/>
  <c r="GC66" i="11"/>
  <c r="GD66" i="11"/>
  <c r="GE66" i="11"/>
  <c r="GF66" i="11"/>
  <c r="GG66" i="11"/>
  <c r="GH66" i="11"/>
  <c r="GI66" i="11"/>
  <c r="GJ66" i="11"/>
  <c r="GK66" i="11"/>
  <c r="GL66" i="11"/>
  <c r="GM66" i="11"/>
  <c r="GN66" i="11"/>
  <c r="GO66" i="11"/>
  <c r="GP66" i="11"/>
  <c r="GQ66" i="11"/>
  <c r="GR66" i="11"/>
  <c r="GS66" i="11"/>
  <c r="GT66" i="11"/>
  <c r="GU66" i="11"/>
  <c r="GV66" i="11"/>
  <c r="GW66" i="11"/>
  <c r="GX66" i="11"/>
  <c r="GY66" i="11"/>
  <c r="GZ66" i="11"/>
  <c r="HA66" i="11"/>
  <c r="HB66" i="11"/>
  <c r="HC66" i="11"/>
  <c r="HD66" i="11"/>
  <c r="HE66" i="11"/>
  <c r="HF66" i="11"/>
  <c r="HG66" i="11"/>
  <c r="HH66" i="11"/>
  <c r="HI66" i="11"/>
  <c r="HJ66" i="11"/>
  <c r="HK66" i="11"/>
  <c r="HL66" i="11"/>
  <c r="HM66" i="11"/>
  <c r="HN66" i="11"/>
  <c r="HO66" i="11"/>
  <c r="HP66" i="11"/>
  <c r="HQ66" i="11"/>
  <c r="HR66" i="11"/>
  <c r="HS66" i="11"/>
  <c r="HT66" i="11"/>
  <c r="HU66" i="11"/>
  <c r="HV66" i="11"/>
  <c r="HW66" i="11"/>
  <c r="HX66" i="11"/>
  <c r="HY66" i="11"/>
  <c r="HZ66" i="11"/>
  <c r="IA66" i="11"/>
  <c r="IB66" i="11"/>
  <c r="IC66" i="11"/>
  <c r="ID66" i="11"/>
  <c r="IE66" i="11"/>
  <c r="IF66" i="11"/>
  <c r="IG66" i="11"/>
  <c r="IH66" i="11"/>
  <c r="II66" i="11"/>
  <c r="IJ66" i="11"/>
  <c r="IK66" i="11"/>
  <c r="IL66" i="11"/>
  <c r="IM66" i="11"/>
  <c r="IN66" i="11"/>
  <c r="IO66" i="11"/>
  <c r="IP66" i="11"/>
  <c r="IQ66" i="11"/>
  <c r="IR66" i="11"/>
  <c r="IS66" i="11"/>
  <c r="IT66" i="11"/>
  <c r="IU66" i="11"/>
  <c r="IV66" i="11"/>
  <c r="A65" i="11"/>
  <c r="B65" i="11"/>
  <c r="C65" i="11"/>
  <c r="D65" i="11"/>
  <c r="E65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R65" i="11"/>
  <c r="S65" i="11"/>
  <c r="T65" i="11"/>
  <c r="U65" i="11"/>
  <c r="V65" i="11"/>
  <c r="W65" i="11"/>
  <c r="X65" i="11"/>
  <c r="Y65" i="11"/>
  <c r="Z65" i="11"/>
  <c r="AA65" i="11"/>
  <c r="AB65" i="11"/>
  <c r="AC65" i="11"/>
  <c r="AD65" i="11"/>
  <c r="AE65" i="11"/>
  <c r="AF65" i="11"/>
  <c r="AG65" i="11"/>
  <c r="AH65" i="11"/>
  <c r="AI65" i="11"/>
  <c r="AJ65" i="11"/>
  <c r="AK65" i="11"/>
  <c r="AL65" i="11"/>
  <c r="AM65" i="11"/>
  <c r="AN65" i="11"/>
  <c r="AO65" i="11"/>
  <c r="AP65" i="11"/>
  <c r="AQ65" i="11"/>
  <c r="AR65" i="11"/>
  <c r="AS65" i="11"/>
  <c r="AT65" i="11"/>
  <c r="AU65" i="11"/>
  <c r="AV65" i="11"/>
  <c r="AW65" i="11"/>
  <c r="AX65" i="11"/>
  <c r="AY65" i="11"/>
  <c r="AZ65" i="11"/>
  <c r="BA65" i="11"/>
  <c r="BB65" i="11"/>
  <c r="BC65" i="11"/>
  <c r="BD65" i="11"/>
  <c r="BE65" i="11"/>
  <c r="BF65" i="11"/>
  <c r="BG65" i="11"/>
  <c r="BH65" i="11"/>
  <c r="BI65" i="11"/>
  <c r="BJ65" i="11"/>
  <c r="BK65" i="11"/>
  <c r="BL65" i="11"/>
  <c r="BM65" i="11"/>
  <c r="BN65" i="11"/>
  <c r="BO65" i="11"/>
  <c r="BP65" i="11"/>
  <c r="BQ65" i="11"/>
  <c r="BR65" i="11"/>
  <c r="BS65" i="11"/>
  <c r="BT65" i="11"/>
  <c r="BU65" i="11"/>
  <c r="BV65" i="11"/>
  <c r="BW65" i="11"/>
  <c r="BX65" i="11"/>
  <c r="BY65" i="11"/>
  <c r="BZ65" i="11"/>
  <c r="CA65" i="11"/>
  <c r="CB65" i="11"/>
  <c r="CC65" i="11"/>
  <c r="CD65" i="11"/>
  <c r="CE65" i="11"/>
  <c r="CF65" i="11"/>
  <c r="CG65" i="11"/>
  <c r="CH65" i="11"/>
  <c r="CI65" i="11"/>
  <c r="CJ65" i="11"/>
  <c r="CK65" i="11"/>
  <c r="CL65" i="11"/>
  <c r="CM65" i="11"/>
  <c r="CN65" i="11"/>
  <c r="CO65" i="11"/>
  <c r="CP65" i="11"/>
  <c r="CQ65" i="11"/>
  <c r="CR65" i="11"/>
  <c r="CS65" i="11"/>
  <c r="CT65" i="11"/>
  <c r="CU65" i="11"/>
  <c r="CV65" i="11"/>
  <c r="CW65" i="11"/>
  <c r="CX65" i="11"/>
  <c r="CY65" i="11"/>
  <c r="CZ65" i="11"/>
  <c r="DA65" i="11"/>
  <c r="DB65" i="11"/>
  <c r="DC65" i="11"/>
  <c r="DD65" i="11"/>
  <c r="DE65" i="11"/>
  <c r="DF65" i="11"/>
  <c r="DG65" i="11"/>
  <c r="DH65" i="11"/>
  <c r="DI65" i="11"/>
  <c r="DJ65" i="11"/>
  <c r="DK65" i="11"/>
  <c r="DL65" i="11"/>
  <c r="DM65" i="11"/>
  <c r="DN65" i="11"/>
  <c r="DO65" i="11"/>
  <c r="DP65" i="11"/>
  <c r="DQ65" i="11"/>
  <c r="DR65" i="11"/>
  <c r="DS65" i="11"/>
  <c r="DT65" i="11"/>
  <c r="DU65" i="11"/>
  <c r="DV65" i="11"/>
  <c r="DW65" i="11"/>
  <c r="DX65" i="11"/>
  <c r="DY65" i="11"/>
  <c r="DZ65" i="11"/>
  <c r="EA65" i="11"/>
  <c r="EB65" i="11"/>
  <c r="EC65" i="11"/>
  <c r="ED65" i="11"/>
  <c r="EE65" i="11"/>
  <c r="EF65" i="11"/>
  <c r="EG65" i="11"/>
  <c r="EH65" i="11"/>
  <c r="EI65" i="11"/>
  <c r="EJ65" i="11"/>
  <c r="EK65" i="11"/>
  <c r="EL65" i="11"/>
  <c r="EM65" i="11"/>
  <c r="EN65" i="11"/>
  <c r="EO65" i="11"/>
  <c r="EP65" i="11"/>
  <c r="EQ65" i="11"/>
  <c r="ER65" i="11"/>
  <c r="ES65" i="11"/>
  <c r="ET65" i="11"/>
  <c r="EU65" i="11"/>
  <c r="EV65" i="11"/>
  <c r="EW65" i="11"/>
  <c r="EX65" i="11"/>
  <c r="EY65" i="11"/>
  <c r="EZ65" i="11"/>
  <c r="FA65" i="11"/>
  <c r="FB65" i="11"/>
  <c r="FC65" i="11"/>
  <c r="FD65" i="11"/>
  <c r="FE65" i="11"/>
  <c r="FF65" i="11"/>
  <c r="FG65" i="11"/>
  <c r="FH65" i="11"/>
  <c r="FI65" i="11"/>
  <c r="FJ65" i="11"/>
  <c r="FK65" i="11"/>
  <c r="FL65" i="11"/>
  <c r="FM65" i="11"/>
  <c r="FN65" i="11"/>
  <c r="FO65" i="11"/>
  <c r="FP65" i="11"/>
  <c r="FQ65" i="11"/>
  <c r="FR65" i="11"/>
  <c r="FS65" i="11"/>
  <c r="FT65" i="11"/>
  <c r="FU65" i="11"/>
  <c r="FV65" i="11"/>
  <c r="FW65" i="11"/>
  <c r="FX65" i="11"/>
  <c r="FY65" i="11"/>
  <c r="FZ65" i="11"/>
  <c r="GA65" i="11"/>
  <c r="GB65" i="11"/>
  <c r="GC65" i="11"/>
  <c r="GD65" i="11"/>
  <c r="GE65" i="11"/>
  <c r="GF65" i="11"/>
  <c r="GG65" i="11"/>
  <c r="GH65" i="11"/>
  <c r="GI65" i="11"/>
  <c r="GJ65" i="11"/>
  <c r="GK65" i="11"/>
  <c r="GL65" i="11"/>
  <c r="GM65" i="11"/>
  <c r="GN65" i="11"/>
  <c r="GO65" i="11"/>
  <c r="GP65" i="11"/>
  <c r="GQ65" i="11"/>
  <c r="GR65" i="11"/>
  <c r="GS65" i="11"/>
  <c r="GT65" i="11"/>
  <c r="GU65" i="11"/>
  <c r="GV65" i="11"/>
  <c r="GW65" i="11"/>
  <c r="GX65" i="11"/>
  <c r="GY65" i="11"/>
  <c r="GZ65" i="11"/>
  <c r="HA65" i="11"/>
  <c r="HB65" i="11"/>
  <c r="HC65" i="11"/>
  <c r="HD65" i="11"/>
  <c r="HE65" i="11"/>
  <c r="HF65" i="11"/>
  <c r="HG65" i="11"/>
  <c r="HH65" i="11"/>
  <c r="HI65" i="11"/>
  <c r="HJ65" i="11"/>
  <c r="HK65" i="11"/>
  <c r="HL65" i="11"/>
  <c r="HM65" i="11"/>
  <c r="HN65" i="11"/>
  <c r="HO65" i="11"/>
  <c r="HP65" i="11"/>
  <c r="HQ65" i="11"/>
  <c r="HR65" i="11"/>
  <c r="HS65" i="11"/>
  <c r="HT65" i="11"/>
  <c r="HU65" i="11"/>
  <c r="HV65" i="11"/>
  <c r="HW65" i="11"/>
  <c r="HX65" i="11"/>
  <c r="HY65" i="11"/>
  <c r="HZ65" i="11"/>
  <c r="IA65" i="11"/>
  <c r="IB65" i="11"/>
  <c r="IC65" i="11"/>
  <c r="ID65" i="11"/>
  <c r="IE65" i="11"/>
  <c r="IF65" i="11"/>
  <c r="IG65" i="11"/>
  <c r="IH65" i="11"/>
  <c r="II65" i="11"/>
  <c r="IJ65" i="11"/>
  <c r="IK65" i="11"/>
  <c r="IL65" i="11"/>
  <c r="IM65" i="11"/>
  <c r="IN65" i="11"/>
  <c r="IO65" i="11"/>
  <c r="IP65" i="11"/>
  <c r="IQ65" i="11"/>
  <c r="IR65" i="11"/>
  <c r="IS65" i="11"/>
  <c r="IT65" i="11"/>
  <c r="IU65" i="11"/>
  <c r="IV65" i="11"/>
  <c r="A64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S64" i="11"/>
  <c r="T64" i="11"/>
  <c r="U64" i="11"/>
  <c r="V64" i="11"/>
  <c r="W64" i="11"/>
  <c r="X64" i="11"/>
  <c r="Y64" i="11"/>
  <c r="Z64" i="11"/>
  <c r="AA64" i="11"/>
  <c r="AB64" i="11"/>
  <c r="AC64" i="11"/>
  <c r="AD64" i="11"/>
  <c r="AE64" i="11"/>
  <c r="AF64" i="11"/>
  <c r="AG64" i="11"/>
  <c r="AH64" i="11"/>
  <c r="AI64" i="11"/>
  <c r="AJ64" i="11"/>
  <c r="AK64" i="11"/>
  <c r="AL64" i="11"/>
  <c r="AM64" i="11"/>
  <c r="AN64" i="11"/>
  <c r="AO64" i="11"/>
  <c r="AP64" i="11"/>
  <c r="AQ64" i="11"/>
  <c r="AR64" i="11"/>
  <c r="AS64" i="11"/>
  <c r="AT64" i="11"/>
  <c r="AU64" i="11"/>
  <c r="AV64" i="11"/>
  <c r="AW64" i="11"/>
  <c r="AX64" i="11"/>
  <c r="AY64" i="11"/>
  <c r="AZ64" i="11"/>
  <c r="BA64" i="11"/>
  <c r="BB64" i="11"/>
  <c r="BC64" i="11"/>
  <c r="BD64" i="11"/>
  <c r="BE64" i="11"/>
  <c r="BF64" i="11"/>
  <c r="BG64" i="11"/>
  <c r="BH64" i="11"/>
  <c r="BI64" i="11"/>
  <c r="BJ64" i="11"/>
  <c r="BK64" i="11"/>
  <c r="BL64" i="11"/>
  <c r="BM64" i="11"/>
  <c r="BN64" i="11"/>
  <c r="BO64" i="11"/>
  <c r="BP64" i="11"/>
  <c r="BQ64" i="11"/>
  <c r="BR64" i="11"/>
  <c r="BS64" i="11"/>
  <c r="BT64" i="11"/>
  <c r="BU64" i="11"/>
  <c r="BV64" i="11"/>
  <c r="BW64" i="11"/>
  <c r="BX64" i="11"/>
  <c r="BY64" i="11"/>
  <c r="BZ64" i="11"/>
  <c r="CA64" i="11"/>
  <c r="CB64" i="11"/>
  <c r="CC64" i="11"/>
  <c r="CD64" i="11"/>
  <c r="CE64" i="11"/>
  <c r="CF64" i="11"/>
  <c r="CG64" i="11"/>
  <c r="CH64" i="11"/>
  <c r="CI64" i="11"/>
  <c r="CJ64" i="11"/>
  <c r="CK64" i="11"/>
  <c r="CL64" i="11"/>
  <c r="CM64" i="11"/>
  <c r="CN64" i="11"/>
  <c r="CO64" i="11"/>
  <c r="CP64" i="11"/>
  <c r="CQ64" i="11"/>
  <c r="CR64" i="11"/>
  <c r="CS64" i="11"/>
  <c r="CT64" i="11"/>
  <c r="CU64" i="11"/>
  <c r="CV64" i="11"/>
  <c r="CW64" i="11"/>
  <c r="CX64" i="11"/>
  <c r="CY64" i="11"/>
  <c r="CZ64" i="11"/>
  <c r="DA64" i="11"/>
  <c r="DB64" i="11"/>
  <c r="DC64" i="11"/>
  <c r="DD64" i="11"/>
  <c r="DE64" i="11"/>
  <c r="DF64" i="11"/>
  <c r="DG64" i="11"/>
  <c r="DH64" i="11"/>
  <c r="DI64" i="11"/>
  <c r="DJ64" i="11"/>
  <c r="DK64" i="11"/>
  <c r="DL64" i="11"/>
  <c r="DM64" i="11"/>
  <c r="DN64" i="11"/>
  <c r="DO64" i="11"/>
  <c r="DP64" i="11"/>
  <c r="DQ64" i="11"/>
  <c r="DR64" i="11"/>
  <c r="DS64" i="11"/>
  <c r="DT64" i="11"/>
  <c r="DU64" i="11"/>
  <c r="DV64" i="11"/>
  <c r="DW64" i="11"/>
  <c r="DX64" i="11"/>
  <c r="DY64" i="11"/>
  <c r="DZ64" i="11"/>
  <c r="EA64" i="11"/>
  <c r="EB64" i="11"/>
  <c r="EC64" i="11"/>
  <c r="ED64" i="11"/>
  <c r="EE64" i="11"/>
  <c r="EF64" i="11"/>
  <c r="EG64" i="11"/>
  <c r="EH64" i="11"/>
  <c r="EI64" i="11"/>
  <c r="EJ64" i="11"/>
  <c r="EK64" i="11"/>
  <c r="EL64" i="11"/>
  <c r="EM64" i="11"/>
  <c r="EN64" i="11"/>
  <c r="EO64" i="11"/>
  <c r="EP64" i="11"/>
  <c r="EQ64" i="11"/>
  <c r="ER64" i="11"/>
  <c r="ES64" i="11"/>
  <c r="ET64" i="11"/>
  <c r="EU64" i="11"/>
  <c r="EV64" i="11"/>
  <c r="EW64" i="11"/>
  <c r="EX64" i="11"/>
  <c r="EY64" i="11"/>
  <c r="EZ64" i="11"/>
  <c r="FA64" i="11"/>
  <c r="FB64" i="11"/>
  <c r="FC64" i="11"/>
  <c r="FD64" i="11"/>
  <c r="FE64" i="11"/>
  <c r="FF64" i="11"/>
  <c r="FG64" i="11"/>
  <c r="FH64" i="11"/>
  <c r="FI64" i="11"/>
  <c r="FJ64" i="11"/>
  <c r="FK64" i="11"/>
  <c r="FL64" i="11"/>
  <c r="FM64" i="11"/>
  <c r="FN64" i="11"/>
  <c r="FO64" i="11"/>
  <c r="FP64" i="11"/>
  <c r="FQ64" i="11"/>
  <c r="FR64" i="11"/>
  <c r="FS64" i="11"/>
  <c r="FT64" i="11"/>
  <c r="FU64" i="11"/>
  <c r="FV64" i="11"/>
  <c r="FW64" i="11"/>
  <c r="FX64" i="11"/>
  <c r="FY64" i="11"/>
  <c r="FZ64" i="11"/>
  <c r="GA64" i="11"/>
  <c r="GB64" i="11"/>
  <c r="GC64" i="11"/>
  <c r="GD64" i="11"/>
  <c r="GE64" i="11"/>
  <c r="GF64" i="11"/>
  <c r="GG64" i="11"/>
  <c r="GH64" i="11"/>
  <c r="GI64" i="11"/>
  <c r="GJ64" i="11"/>
  <c r="GK64" i="11"/>
  <c r="GL64" i="11"/>
  <c r="GM64" i="11"/>
  <c r="GN64" i="11"/>
  <c r="GO64" i="11"/>
  <c r="GP64" i="11"/>
  <c r="GQ64" i="11"/>
  <c r="GR64" i="11"/>
  <c r="GS64" i="11"/>
  <c r="GT64" i="11"/>
  <c r="GU64" i="11"/>
  <c r="GV64" i="11"/>
  <c r="GW64" i="11"/>
  <c r="GX64" i="11"/>
  <c r="GY64" i="11"/>
  <c r="GZ64" i="11"/>
  <c r="HA64" i="11"/>
  <c r="HB64" i="11"/>
  <c r="HC64" i="11"/>
  <c r="HD64" i="11"/>
  <c r="HE64" i="11"/>
  <c r="HF64" i="11"/>
  <c r="HG64" i="11"/>
  <c r="HH64" i="11"/>
  <c r="HI64" i="11"/>
  <c r="HJ64" i="11"/>
  <c r="HK64" i="11"/>
  <c r="HL64" i="11"/>
  <c r="HM64" i="11"/>
  <c r="HN64" i="11"/>
  <c r="HO64" i="11"/>
  <c r="HP64" i="11"/>
  <c r="HQ64" i="11"/>
  <c r="HR64" i="11"/>
  <c r="HS64" i="11"/>
  <c r="HT64" i="11"/>
  <c r="HU64" i="11"/>
  <c r="HV64" i="11"/>
  <c r="HW64" i="11"/>
  <c r="HX64" i="11"/>
  <c r="HY64" i="11"/>
  <c r="HZ64" i="11"/>
  <c r="IA64" i="11"/>
  <c r="IB64" i="11"/>
  <c r="IC64" i="11"/>
  <c r="ID64" i="11"/>
  <c r="IE64" i="11"/>
  <c r="IF64" i="11"/>
  <c r="IG64" i="11"/>
  <c r="IH64" i="11"/>
  <c r="II64" i="11"/>
  <c r="IJ64" i="11"/>
  <c r="IK64" i="11"/>
  <c r="IL64" i="11"/>
  <c r="IM64" i="11"/>
  <c r="IN64" i="11"/>
  <c r="IO64" i="11"/>
  <c r="IP64" i="11"/>
  <c r="IQ64" i="11"/>
  <c r="IR64" i="11"/>
  <c r="IS64" i="11"/>
  <c r="IT64" i="11"/>
  <c r="IU64" i="11"/>
  <c r="IV64" i="11"/>
  <c r="A63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W63" i="11"/>
  <c r="X63" i="11"/>
  <c r="Y63" i="11"/>
  <c r="Z63" i="11"/>
  <c r="AA63" i="11"/>
  <c r="AB63" i="11"/>
  <c r="AC63" i="11"/>
  <c r="AD63" i="11"/>
  <c r="AE63" i="11"/>
  <c r="AF63" i="11"/>
  <c r="AG63" i="11"/>
  <c r="AH63" i="11"/>
  <c r="AI63" i="11"/>
  <c r="AJ63" i="11"/>
  <c r="AK63" i="11"/>
  <c r="AL63" i="11"/>
  <c r="AM63" i="11"/>
  <c r="AN63" i="11"/>
  <c r="AO63" i="11"/>
  <c r="AP63" i="11"/>
  <c r="AQ63" i="11"/>
  <c r="AR63" i="11"/>
  <c r="AS63" i="11"/>
  <c r="AT63" i="11"/>
  <c r="AU63" i="11"/>
  <c r="AV63" i="11"/>
  <c r="AW63" i="11"/>
  <c r="AX63" i="11"/>
  <c r="AY63" i="11"/>
  <c r="AZ63" i="11"/>
  <c r="BA63" i="11"/>
  <c r="BB63" i="11"/>
  <c r="BC63" i="11"/>
  <c r="BD63" i="11"/>
  <c r="BE63" i="11"/>
  <c r="BF63" i="11"/>
  <c r="BG63" i="11"/>
  <c r="BH63" i="11"/>
  <c r="BI63" i="11"/>
  <c r="BJ63" i="11"/>
  <c r="BK63" i="11"/>
  <c r="BL63" i="11"/>
  <c r="BM63" i="11"/>
  <c r="BN63" i="11"/>
  <c r="BO63" i="11"/>
  <c r="BP63" i="11"/>
  <c r="BQ63" i="11"/>
  <c r="BR63" i="11"/>
  <c r="BS63" i="11"/>
  <c r="BT63" i="11"/>
  <c r="BU63" i="11"/>
  <c r="BV63" i="11"/>
  <c r="BW63" i="11"/>
  <c r="BX63" i="11"/>
  <c r="BY63" i="11"/>
  <c r="BZ63" i="11"/>
  <c r="CA63" i="11"/>
  <c r="CB63" i="11"/>
  <c r="CC63" i="11"/>
  <c r="CD63" i="11"/>
  <c r="CE63" i="11"/>
  <c r="CF63" i="11"/>
  <c r="CG63" i="11"/>
  <c r="CH63" i="11"/>
  <c r="CI63" i="11"/>
  <c r="CJ63" i="11"/>
  <c r="CK63" i="11"/>
  <c r="CL63" i="11"/>
  <c r="CM63" i="11"/>
  <c r="CN63" i="11"/>
  <c r="CO63" i="11"/>
  <c r="CP63" i="11"/>
  <c r="CQ63" i="11"/>
  <c r="CR63" i="11"/>
  <c r="CS63" i="11"/>
  <c r="CT63" i="11"/>
  <c r="CU63" i="11"/>
  <c r="CV63" i="11"/>
  <c r="CW63" i="11"/>
  <c r="CX63" i="11"/>
  <c r="CY63" i="11"/>
  <c r="CZ63" i="11"/>
  <c r="DA63" i="11"/>
  <c r="DB63" i="11"/>
  <c r="DC63" i="11"/>
  <c r="DD63" i="11"/>
  <c r="DE63" i="11"/>
  <c r="DF63" i="11"/>
  <c r="DG63" i="11"/>
  <c r="DH63" i="11"/>
  <c r="DI63" i="11"/>
  <c r="DJ63" i="11"/>
  <c r="DK63" i="11"/>
  <c r="DL63" i="11"/>
  <c r="DM63" i="11"/>
  <c r="DN63" i="11"/>
  <c r="DO63" i="11"/>
  <c r="DP63" i="11"/>
  <c r="DQ63" i="11"/>
  <c r="DR63" i="11"/>
  <c r="DS63" i="11"/>
  <c r="DT63" i="11"/>
  <c r="DU63" i="11"/>
  <c r="DV63" i="11"/>
  <c r="DW63" i="11"/>
  <c r="DX63" i="11"/>
  <c r="DY63" i="11"/>
  <c r="DZ63" i="11"/>
  <c r="EA63" i="11"/>
  <c r="EB63" i="11"/>
  <c r="EC63" i="11"/>
  <c r="ED63" i="11"/>
  <c r="EE63" i="11"/>
  <c r="EF63" i="11"/>
  <c r="EG63" i="11"/>
  <c r="EH63" i="11"/>
  <c r="EI63" i="11"/>
  <c r="EJ63" i="11"/>
  <c r="EK63" i="11"/>
  <c r="EL63" i="11"/>
  <c r="EM63" i="11"/>
  <c r="EN63" i="11"/>
  <c r="EO63" i="11"/>
  <c r="EP63" i="11"/>
  <c r="EQ63" i="11"/>
  <c r="ER63" i="11"/>
  <c r="ES63" i="11"/>
  <c r="ET63" i="11"/>
  <c r="EU63" i="11"/>
  <c r="EV63" i="11"/>
  <c r="EW63" i="11"/>
  <c r="EX63" i="11"/>
  <c r="EY63" i="11"/>
  <c r="EZ63" i="11"/>
  <c r="FA63" i="11"/>
  <c r="FB63" i="11"/>
  <c r="FC63" i="11"/>
  <c r="FD63" i="11"/>
  <c r="FE63" i="11"/>
  <c r="FF63" i="11"/>
  <c r="FG63" i="11"/>
  <c r="FH63" i="11"/>
  <c r="FI63" i="11"/>
  <c r="FJ63" i="11"/>
  <c r="FK63" i="11"/>
  <c r="FL63" i="11"/>
  <c r="FM63" i="11"/>
  <c r="FN63" i="11"/>
  <c r="FO63" i="11"/>
  <c r="FP63" i="11"/>
  <c r="FQ63" i="11"/>
  <c r="FR63" i="11"/>
  <c r="FS63" i="11"/>
  <c r="FT63" i="11"/>
  <c r="FU63" i="11"/>
  <c r="FV63" i="11"/>
  <c r="FW63" i="11"/>
  <c r="FX63" i="11"/>
  <c r="FY63" i="11"/>
  <c r="FZ63" i="11"/>
  <c r="GA63" i="11"/>
  <c r="GB63" i="11"/>
  <c r="GC63" i="11"/>
  <c r="GD63" i="11"/>
  <c r="GE63" i="11"/>
  <c r="GF63" i="11"/>
  <c r="GG63" i="11"/>
  <c r="GH63" i="11"/>
  <c r="GI63" i="11"/>
  <c r="GJ63" i="11"/>
  <c r="GK63" i="11"/>
  <c r="GL63" i="11"/>
  <c r="GM63" i="11"/>
  <c r="GN63" i="11"/>
  <c r="GO63" i="11"/>
  <c r="GP63" i="11"/>
  <c r="GQ63" i="11"/>
  <c r="GR63" i="11"/>
  <c r="GS63" i="11"/>
  <c r="GT63" i="11"/>
  <c r="GU63" i="11"/>
  <c r="GV63" i="11"/>
  <c r="GW63" i="11"/>
  <c r="GX63" i="11"/>
  <c r="GY63" i="11"/>
  <c r="GZ63" i="11"/>
  <c r="HA63" i="11"/>
  <c r="HB63" i="11"/>
  <c r="HC63" i="11"/>
  <c r="HD63" i="11"/>
  <c r="HE63" i="11"/>
  <c r="HF63" i="11"/>
  <c r="HG63" i="11"/>
  <c r="HH63" i="11"/>
  <c r="HI63" i="11"/>
  <c r="HJ63" i="11"/>
  <c r="HK63" i="11"/>
  <c r="HL63" i="11"/>
  <c r="HM63" i="11"/>
  <c r="HN63" i="11"/>
  <c r="HO63" i="11"/>
  <c r="HP63" i="11"/>
  <c r="HQ63" i="11"/>
  <c r="HR63" i="11"/>
  <c r="HS63" i="11"/>
  <c r="HT63" i="11"/>
  <c r="HU63" i="11"/>
  <c r="HV63" i="11"/>
  <c r="HW63" i="11"/>
  <c r="HX63" i="11"/>
  <c r="HY63" i="11"/>
  <c r="HZ63" i="11"/>
  <c r="IA63" i="11"/>
  <c r="IB63" i="11"/>
  <c r="IC63" i="11"/>
  <c r="ID63" i="11"/>
  <c r="IE63" i="11"/>
  <c r="IF63" i="11"/>
  <c r="IG63" i="11"/>
  <c r="IH63" i="11"/>
  <c r="II63" i="11"/>
  <c r="IJ63" i="11"/>
  <c r="IK63" i="11"/>
  <c r="IL63" i="11"/>
  <c r="IM63" i="11"/>
  <c r="IN63" i="11"/>
  <c r="IO63" i="11"/>
  <c r="IP63" i="11"/>
  <c r="IQ63" i="11"/>
  <c r="IR63" i="11"/>
  <c r="IS63" i="11"/>
  <c r="IT63" i="11"/>
  <c r="IU63" i="11"/>
  <c r="IV63" i="11"/>
  <c r="A62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S62" i="11"/>
  <c r="T62" i="11"/>
  <c r="U62" i="11"/>
  <c r="V62" i="11"/>
  <c r="W62" i="11"/>
  <c r="X62" i="11"/>
  <c r="Y62" i="11"/>
  <c r="Z62" i="11"/>
  <c r="AA62" i="11"/>
  <c r="AB62" i="11"/>
  <c r="AC62" i="11"/>
  <c r="AD62" i="11"/>
  <c r="AE62" i="11"/>
  <c r="AF62" i="11"/>
  <c r="AG62" i="11"/>
  <c r="AH62" i="11"/>
  <c r="AI62" i="11"/>
  <c r="AJ62" i="11"/>
  <c r="AK62" i="11"/>
  <c r="AL62" i="11"/>
  <c r="AM62" i="11"/>
  <c r="AN62" i="11"/>
  <c r="AO62" i="11"/>
  <c r="AP62" i="11"/>
  <c r="AQ62" i="11"/>
  <c r="AR62" i="11"/>
  <c r="AS62" i="11"/>
  <c r="AT62" i="11"/>
  <c r="AU62" i="11"/>
  <c r="AV62" i="11"/>
  <c r="AW62" i="11"/>
  <c r="AX62" i="11"/>
  <c r="AY62" i="11"/>
  <c r="AZ62" i="11"/>
  <c r="BA62" i="11"/>
  <c r="BB62" i="11"/>
  <c r="BC62" i="11"/>
  <c r="BD62" i="11"/>
  <c r="BE62" i="11"/>
  <c r="BF62" i="11"/>
  <c r="BG62" i="11"/>
  <c r="BH62" i="11"/>
  <c r="BI62" i="11"/>
  <c r="BJ62" i="11"/>
  <c r="BK62" i="11"/>
  <c r="BL62" i="11"/>
  <c r="BM62" i="11"/>
  <c r="BN62" i="11"/>
  <c r="BO62" i="11"/>
  <c r="BP62" i="11"/>
  <c r="BQ62" i="11"/>
  <c r="BR62" i="11"/>
  <c r="BS62" i="11"/>
  <c r="BT62" i="11"/>
  <c r="BU62" i="11"/>
  <c r="BV62" i="11"/>
  <c r="BW62" i="11"/>
  <c r="BX62" i="11"/>
  <c r="BY62" i="11"/>
  <c r="BZ62" i="11"/>
  <c r="CA62" i="11"/>
  <c r="CB62" i="11"/>
  <c r="CC62" i="11"/>
  <c r="CD62" i="11"/>
  <c r="CE62" i="11"/>
  <c r="CF62" i="11"/>
  <c r="CG62" i="11"/>
  <c r="CH62" i="11"/>
  <c r="CI62" i="11"/>
  <c r="CJ62" i="11"/>
  <c r="CK62" i="11"/>
  <c r="CL62" i="11"/>
  <c r="CM62" i="11"/>
  <c r="CN62" i="11"/>
  <c r="CO62" i="11"/>
  <c r="CP62" i="11"/>
  <c r="CQ62" i="11"/>
  <c r="CR62" i="11"/>
  <c r="CS62" i="11"/>
  <c r="CT62" i="11"/>
  <c r="CU62" i="11"/>
  <c r="CV62" i="11"/>
  <c r="CW62" i="11"/>
  <c r="CX62" i="11"/>
  <c r="CY62" i="11"/>
  <c r="CZ62" i="11"/>
  <c r="DA62" i="11"/>
  <c r="DB62" i="11"/>
  <c r="DC62" i="11"/>
  <c r="DD62" i="11"/>
  <c r="DE62" i="11"/>
  <c r="DF62" i="11"/>
  <c r="DG62" i="11"/>
  <c r="DH62" i="11"/>
  <c r="DI62" i="11"/>
  <c r="DJ62" i="11"/>
  <c r="DK62" i="11"/>
  <c r="DL62" i="11"/>
  <c r="DM62" i="11"/>
  <c r="DN62" i="11"/>
  <c r="DO62" i="11"/>
  <c r="DP62" i="11"/>
  <c r="DQ62" i="11"/>
  <c r="DR62" i="11"/>
  <c r="DS62" i="11"/>
  <c r="DT62" i="11"/>
  <c r="DU62" i="11"/>
  <c r="DV62" i="11"/>
  <c r="DW62" i="11"/>
  <c r="DX62" i="11"/>
  <c r="DY62" i="11"/>
  <c r="DZ62" i="11"/>
  <c r="EA62" i="11"/>
  <c r="EB62" i="11"/>
  <c r="EC62" i="11"/>
  <c r="ED62" i="11"/>
  <c r="EE62" i="11"/>
  <c r="EF62" i="11"/>
  <c r="EG62" i="11"/>
  <c r="EH62" i="11"/>
  <c r="EI62" i="11"/>
  <c r="EJ62" i="11"/>
  <c r="EK62" i="11"/>
  <c r="EL62" i="11"/>
  <c r="EM62" i="11"/>
  <c r="EN62" i="11"/>
  <c r="EO62" i="11"/>
  <c r="EP62" i="11"/>
  <c r="EQ62" i="11"/>
  <c r="ER62" i="11"/>
  <c r="ES62" i="11"/>
  <c r="ET62" i="11"/>
  <c r="EU62" i="11"/>
  <c r="EV62" i="11"/>
  <c r="EW62" i="11"/>
  <c r="EX62" i="11"/>
  <c r="EY62" i="11"/>
  <c r="EZ62" i="11"/>
  <c r="FA62" i="11"/>
  <c r="FB62" i="11"/>
  <c r="FC62" i="11"/>
  <c r="FD62" i="11"/>
  <c r="FE62" i="11"/>
  <c r="FF62" i="11"/>
  <c r="FG62" i="11"/>
  <c r="FH62" i="11"/>
  <c r="FI62" i="11"/>
  <c r="FJ62" i="11"/>
  <c r="FK62" i="11"/>
  <c r="FL62" i="11"/>
  <c r="FM62" i="11"/>
  <c r="FN62" i="11"/>
  <c r="FO62" i="11"/>
  <c r="FP62" i="11"/>
  <c r="FQ62" i="11"/>
  <c r="FR62" i="11"/>
  <c r="FS62" i="11"/>
  <c r="FT62" i="11"/>
  <c r="FU62" i="11"/>
  <c r="FV62" i="11"/>
  <c r="FW62" i="11"/>
  <c r="FX62" i="11"/>
  <c r="FY62" i="11"/>
  <c r="FZ62" i="11"/>
  <c r="GA62" i="11"/>
  <c r="GB62" i="11"/>
  <c r="GC62" i="11"/>
  <c r="GD62" i="11"/>
  <c r="GE62" i="11"/>
  <c r="GF62" i="11"/>
  <c r="GG62" i="11"/>
  <c r="GH62" i="11"/>
  <c r="GI62" i="11"/>
  <c r="GJ62" i="11"/>
  <c r="GK62" i="11"/>
  <c r="GL62" i="11"/>
  <c r="GM62" i="11"/>
  <c r="GN62" i="11"/>
  <c r="GO62" i="11"/>
  <c r="GP62" i="11"/>
  <c r="GQ62" i="11"/>
  <c r="GR62" i="11"/>
  <c r="GS62" i="11"/>
  <c r="GT62" i="11"/>
  <c r="GU62" i="11"/>
  <c r="GV62" i="11"/>
  <c r="GW62" i="11"/>
  <c r="GX62" i="11"/>
  <c r="GY62" i="11"/>
  <c r="GZ62" i="11"/>
  <c r="HA62" i="11"/>
  <c r="HB62" i="11"/>
  <c r="HC62" i="11"/>
  <c r="HD62" i="11"/>
  <c r="HE62" i="11"/>
  <c r="HF62" i="11"/>
  <c r="HG62" i="11"/>
  <c r="HH62" i="11"/>
  <c r="HI62" i="11"/>
  <c r="HJ62" i="11"/>
  <c r="HK62" i="11"/>
  <c r="HL62" i="11"/>
  <c r="HM62" i="11"/>
  <c r="HN62" i="11"/>
  <c r="HO62" i="11"/>
  <c r="HP62" i="11"/>
  <c r="HQ62" i="11"/>
  <c r="HR62" i="11"/>
  <c r="HS62" i="11"/>
  <c r="HT62" i="11"/>
  <c r="HU62" i="11"/>
  <c r="HV62" i="11"/>
  <c r="HW62" i="11"/>
  <c r="HX62" i="11"/>
  <c r="HY62" i="11"/>
  <c r="HZ62" i="11"/>
  <c r="IA62" i="11"/>
  <c r="IB62" i="11"/>
  <c r="IC62" i="11"/>
  <c r="ID62" i="11"/>
  <c r="IE62" i="11"/>
  <c r="IF62" i="11"/>
  <c r="IG62" i="11"/>
  <c r="IH62" i="11"/>
  <c r="II62" i="11"/>
  <c r="IJ62" i="11"/>
  <c r="IK62" i="11"/>
  <c r="IL62" i="11"/>
  <c r="IM62" i="11"/>
  <c r="IN62" i="11"/>
  <c r="IO62" i="11"/>
  <c r="IP62" i="11"/>
  <c r="IQ62" i="11"/>
  <c r="IR62" i="11"/>
  <c r="IS62" i="11"/>
  <c r="IT62" i="11"/>
  <c r="IU62" i="11"/>
  <c r="IV62" i="11"/>
  <c r="A61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V61" i="11"/>
  <c r="W61" i="11"/>
  <c r="X61" i="11"/>
  <c r="Y61" i="11"/>
  <c r="Z61" i="11"/>
  <c r="AA61" i="11"/>
  <c r="AB61" i="11"/>
  <c r="AC61" i="11"/>
  <c r="AD61" i="11"/>
  <c r="AE61" i="11"/>
  <c r="AF61" i="11"/>
  <c r="AG61" i="11"/>
  <c r="AH61" i="11"/>
  <c r="AI61" i="11"/>
  <c r="AJ61" i="11"/>
  <c r="AK61" i="11"/>
  <c r="AL61" i="11"/>
  <c r="AM61" i="11"/>
  <c r="AN61" i="11"/>
  <c r="AO61" i="11"/>
  <c r="AP61" i="11"/>
  <c r="AQ61" i="11"/>
  <c r="AR61" i="11"/>
  <c r="AS61" i="11"/>
  <c r="AT61" i="11"/>
  <c r="AU61" i="11"/>
  <c r="AV61" i="11"/>
  <c r="AW61" i="11"/>
  <c r="AX61" i="11"/>
  <c r="AY61" i="11"/>
  <c r="AZ61" i="11"/>
  <c r="BA61" i="11"/>
  <c r="BB61" i="11"/>
  <c r="BC61" i="11"/>
  <c r="BD61" i="11"/>
  <c r="BE61" i="11"/>
  <c r="BF61" i="11"/>
  <c r="BG61" i="11"/>
  <c r="BH61" i="11"/>
  <c r="BI61" i="11"/>
  <c r="BJ61" i="11"/>
  <c r="BK61" i="11"/>
  <c r="BL61" i="11"/>
  <c r="BM61" i="11"/>
  <c r="BN61" i="11"/>
  <c r="BO61" i="11"/>
  <c r="BP61" i="11"/>
  <c r="BQ61" i="11"/>
  <c r="BR61" i="11"/>
  <c r="BS61" i="11"/>
  <c r="BT61" i="11"/>
  <c r="BU61" i="11"/>
  <c r="BV61" i="11"/>
  <c r="BW61" i="11"/>
  <c r="BX61" i="11"/>
  <c r="BY61" i="11"/>
  <c r="BZ61" i="11"/>
  <c r="CA61" i="11"/>
  <c r="CB61" i="11"/>
  <c r="CC61" i="11"/>
  <c r="CD61" i="11"/>
  <c r="CE61" i="11"/>
  <c r="CF61" i="11"/>
  <c r="CG61" i="11"/>
  <c r="CH61" i="11"/>
  <c r="CI61" i="11"/>
  <c r="CJ61" i="11"/>
  <c r="CK61" i="11"/>
  <c r="CL61" i="11"/>
  <c r="CM61" i="11"/>
  <c r="CN61" i="11"/>
  <c r="CO61" i="11"/>
  <c r="CP61" i="11"/>
  <c r="CQ61" i="11"/>
  <c r="CR61" i="11"/>
  <c r="CS61" i="11"/>
  <c r="CT61" i="11"/>
  <c r="CU61" i="11"/>
  <c r="CV61" i="11"/>
  <c r="CW61" i="11"/>
  <c r="CX61" i="11"/>
  <c r="CY61" i="11"/>
  <c r="CZ61" i="11"/>
  <c r="DA61" i="11"/>
  <c r="DB61" i="11"/>
  <c r="DC61" i="11"/>
  <c r="DD61" i="11"/>
  <c r="DE61" i="11"/>
  <c r="DF61" i="11"/>
  <c r="DG61" i="11"/>
  <c r="DH61" i="11"/>
  <c r="DI61" i="11"/>
  <c r="DJ61" i="11"/>
  <c r="DK61" i="11"/>
  <c r="DL61" i="11"/>
  <c r="DM61" i="11"/>
  <c r="DN61" i="11"/>
  <c r="DO61" i="11"/>
  <c r="DP61" i="11"/>
  <c r="DQ61" i="11"/>
  <c r="DR61" i="11"/>
  <c r="DS61" i="11"/>
  <c r="DT61" i="11"/>
  <c r="DU61" i="11"/>
  <c r="DV61" i="11"/>
  <c r="DW61" i="11"/>
  <c r="DX61" i="11"/>
  <c r="DY61" i="11"/>
  <c r="DZ61" i="11"/>
  <c r="EA61" i="11"/>
  <c r="EB61" i="11"/>
  <c r="EC61" i="11"/>
  <c r="ED61" i="11"/>
  <c r="EE61" i="11"/>
  <c r="EF61" i="11"/>
  <c r="EG61" i="11"/>
  <c r="EH61" i="11"/>
  <c r="EI61" i="11"/>
  <c r="EJ61" i="11"/>
  <c r="EK61" i="11"/>
  <c r="EL61" i="11"/>
  <c r="EM61" i="11"/>
  <c r="EN61" i="11"/>
  <c r="EO61" i="11"/>
  <c r="EP61" i="11"/>
  <c r="EQ61" i="11"/>
  <c r="ER61" i="11"/>
  <c r="ES61" i="11"/>
  <c r="ET61" i="11"/>
  <c r="EU61" i="11"/>
  <c r="EV61" i="11"/>
  <c r="EW61" i="11"/>
  <c r="EX61" i="11"/>
  <c r="EY61" i="11"/>
  <c r="EZ61" i="11"/>
  <c r="FA61" i="11"/>
  <c r="FB61" i="11"/>
  <c r="FC61" i="11"/>
  <c r="FD61" i="11"/>
  <c r="FE61" i="11"/>
  <c r="FF61" i="11"/>
  <c r="FG61" i="11"/>
  <c r="FH61" i="11"/>
  <c r="FI61" i="11"/>
  <c r="FJ61" i="11"/>
  <c r="FK61" i="11"/>
  <c r="FL61" i="11"/>
  <c r="FM61" i="11"/>
  <c r="FN61" i="11"/>
  <c r="FO61" i="11"/>
  <c r="FP61" i="11"/>
  <c r="FQ61" i="11"/>
  <c r="FR61" i="11"/>
  <c r="FS61" i="11"/>
  <c r="FT61" i="11"/>
  <c r="FU61" i="11"/>
  <c r="FV61" i="11"/>
  <c r="FW61" i="11"/>
  <c r="FX61" i="11"/>
  <c r="FY61" i="11"/>
  <c r="FZ61" i="11"/>
  <c r="GA61" i="11"/>
  <c r="GB61" i="11"/>
  <c r="GC61" i="11"/>
  <c r="GD61" i="11"/>
  <c r="GE61" i="11"/>
  <c r="GF61" i="11"/>
  <c r="GG61" i="11"/>
  <c r="GH61" i="11"/>
  <c r="GI61" i="11"/>
  <c r="GJ61" i="11"/>
  <c r="GK61" i="11"/>
  <c r="GL61" i="11"/>
  <c r="GM61" i="11"/>
  <c r="GN61" i="11"/>
  <c r="GO61" i="11"/>
  <c r="GP61" i="11"/>
  <c r="GQ61" i="11"/>
  <c r="GR61" i="11"/>
  <c r="GS61" i="11"/>
  <c r="GT61" i="11"/>
  <c r="GU61" i="11"/>
  <c r="GV61" i="11"/>
  <c r="GW61" i="11"/>
  <c r="GX61" i="11"/>
  <c r="GY61" i="11"/>
  <c r="GZ61" i="11"/>
  <c r="HA61" i="11"/>
  <c r="HB61" i="11"/>
  <c r="HC61" i="11"/>
  <c r="HD61" i="11"/>
  <c r="HE61" i="11"/>
  <c r="HF61" i="11"/>
  <c r="HG61" i="11"/>
  <c r="HH61" i="11"/>
  <c r="HI61" i="11"/>
  <c r="HJ61" i="11"/>
  <c r="HK61" i="11"/>
  <c r="HL61" i="11"/>
  <c r="HM61" i="11"/>
  <c r="HN61" i="11"/>
  <c r="HO61" i="11"/>
  <c r="HP61" i="11"/>
  <c r="HQ61" i="11"/>
  <c r="HR61" i="11"/>
  <c r="HS61" i="11"/>
  <c r="HT61" i="11"/>
  <c r="HU61" i="11"/>
  <c r="HV61" i="11"/>
  <c r="HW61" i="11"/>
  <c r="HX61" i="11"/>
  <c r="HY61" i="11"/>
  <c r="HZ61" i="11"/>
  <c r="IA61" i="11"/>
  <c r="IB61" i="11"/>
  <c r="IC61" i="11"/>
  <c r="ID61" i="11"/>
  <c r="IE61" i="11"/>
  <c r="IF61" i="11"/>
  <c r="IG61" i="11"/>
  <c r="IH61" i="11"/>
  <c r="II61" i="11"/>
  <c r="IJ61" i="11"/>
  <c r="IK61" i="11"/>
  <c r="IL61" i="11"/>
  <c r="IM61" i="11"/>
  <c r="IN61" i="11"/>
  <c r="IO61" i="11"/>
  <c r="IP61" i="11"/>
  <c r="IQ61" i="11"/>
  <c r="IR61" i="11"/>
  <c r="IS61" i="11"/>
  <c r="IT61" i="11"/>
  <c r="IU61" i="11"/>
  <c r="IV61" i="11"/>
  <c r="A60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V60" i="11"/>
  <c r="W60" i="11"/>
  <c r="X60" i="11"/>
  <c r="Y60" i="11"/>
  <c r="Z60" i="11"/>
  <c r="AA60" i="11"/>
  <c r="AB60" i="11"/>
  <c r="AC60" i="11"/>
  <c r="AD60" i="11"/>
  <c r="AE60" i="11"/>
  <c r="AF60" i="11"/>
  <c r="AG60" i="11"/>
  <c r="AH60" i="11"/>
  <c r="AI60" i="11"/>
  <c r="AJ60" i="11"/>
  <c r="AK60" i="11"/>
  <c r="AL60" i="11"/>
  <c r="AM60" i="11"/>
  <c r="AN60" i="11"/>
  <c r="AO60" i="11"/>
  <c r="AP60" i="11"/>
  <c r="AQ60" i="11"/>
  <c r="AR60" i="11"/>
  <c r="AS60" i="11"/>
  <c r="AT60" i="11"/>
  <c r="AU60" i="11"/>
  <c r="AV60" i="11"/>
  <c r="AW60" i="11"/>
  <c r="AX60" i="11"/>
  <c r="AY60" i="11"/>
  <c r="AZ60" i="11"/>
  <c r="BA60" i="11"/>
  <c r="BB60" i="11"/>
  <c r="BC60" i="11"/>
  <c r="BD60" i="11"/>
  <c r="BE60" i="11"/>
  <c r="BF60" i="11"/>
  <c r="BG60" i="11"/>
  <c r="BH60" i="11"/>
  <c r="BI60" i="11"/>
  <c r="BJ60" i="11"/>
  <c r="BK60" i="11"/>
  <c r="BL60" i="11"/>
  <c r="BM60" i="11"/>
  <c r="BN60" i="11"/>
  <c r="BO60" i="11"/>
  <c r="BP60" i="11"/>
  <c r="BQ60" i="11"/>
  <c r="BR60" i="11"/>
  <c r="BS60" i="11"/>
  <c r="BT60" i="11"/>
  <c r="BU60" i="11"/>
  <c r="BV60" i="11"/>
  <c r="BW60" i="11"/>
  <c r="BX60" i="11"/>
  <c r="BY60" i="11"/>
  <c r="BZ60" i="11"/>
  <c r="CA60" i="11"/>
  <c r="CB60" i="11"/>
  <c r="CC60" i="11"/>
  <c r="CD60" i="11"/>
  <c r="CE60" i="11"/>
  <c r="CF60" i="11"/>
  <c r="CG60" i="11"/>
  <c r="CH60" i="11"/>
  <c r="CI60" i="11"/>
  <c r="CJ60" i="11"/>
  <c r="CK60" i="11"/>
  <c r="CL60" i="11"/>
  <c r="CM60" i="11"/>
  <c r="CN60" i="11"/>
  <c r="CO60" i="11"/>
  <c r="CP60" i="11"/>
  <c r="CQ60" i="11"/>
  <c r="CR60" i="11"/>
  <c r="CS60" i="11"/>
  <c r="CT60" i="11"/>
  <c r="CU60" i="11"/>
  <c r="CV60" i="11"/>
  <c r="CW60" i="11"/>
  <c r="CX60" i="11"/>
  <c r="CY60" i="11"/>
  <c r="CZ60" i="11"/>
  <c r="DA60" i="11"/>
  <c r="DB60" i="11"/>
  <c r="DC60" i="11"/>
  <c r="DD60" i="11"/>
  <c r="DE60" i="11"/>
  <c r="DF60" i="11"/>
  <c r="DG60" i="11"/>
  <c r="DH60" i="11"/>
  <c r="DI60" i="11"/>
  <c r="DJ60" i="11"/>
  <c r="DK60" i="11"/>
  <c r="DL60" i="11"/>
  <c r="DM60" i="11"/>
  <c r="DN60" i="11"/>
  <c r="DO60" i="11"/>
  <c r="DP60" i="11"/>
  <c r="DQ60" i="11"/>
  <c r="DR60" i="11"/>
  <c r="DS60" i="11"/>
  <c r="DT60" i="11"/>
  <c r="DU60" i="11"/>
  <c r="DV60" i="11"/>
  <c r="DW60" i="11"/>
  <c r="DX60" i="11"/>
  <c r="DY60" i="11"/>
  <c r="DZ60" i="11"/>
  <c r="EA60" i="11"/>
  <c r="EB60" i="11"/>
  <c r="EC60" i="11"/>
  <c r="ED60" i="11"/>
  <c r="EE60" i="11"/>
  <c r="EF60" i="11"/>
  <c r="EG60" i="11"/>
  <c r="EH60" i="11"/>
  <c r="EI60" i="11"/>
  <c r="EJ60" i="11"/>
  <c r="EK60" i="11"/>
  <c r="EL60" i="11"/>
  <c r="EM60" i="11"/>
  <c r="EN60" i="11"/>
  <c r="EO60" i="11"/>
  <c r="EP60" i="11"/>
  <c r="EQ60" i="11"/>
  <c r="ER60" i="11"/>
  <c r="ES60" i="11"/>
  <c r="ET60" i="11"/>
  <c r="EU60" i="11"/>
  <c r="EV60" i="11"/>
  <c r="EW60" i="11"/>
  <c r="EX60" i="11"/>
  <c r="EY60" i="11"/>
  <c r="EZ60" i="11"/>
  <c r="FA60" i="11"/>
  <c r="FB60" i="11"/>
  <c r="FC60" i="11"/>
  <c r="FD60" i="11"/>
  <c r="FE60" i="11"/>
  <c r="FF60" i="11"/>
  <c r="FG60" i="11"/>
  <c r="FH60" i="11"/>
  <c r="FI60" i="11"/>
  <c r="FJ60" i="11"/>
  <c r="FK60" i="11"/>
  <c r="FL60" i="11"/>
  <c r="FM60" i="11"/>
  <c r="FN60" i="11"/>
  <c r="FO60" i="11"/>
  <c r="FP60" i="11"/>
  <c r="FQ60" i="11"/>
  <c r="FR60" i="11"/>
  <c r="FS60" i="11"/>
  <c r="FT60" i="11"/>
  <c r="FU60" i="11"/>
  <c r="FV60" i="11"/>
  <c r="FW60" i="11"/>
  <c r="FX60" i="11"/>
  <c r="FY60" i="11"/>
  <c r="FZ60" i="11"/>
  <c r="GA60" i="11"/>
  <c r="GB60" i="11"/>
  <c r="GC60" i="11"/>
  <c r="GD60" i="11"/>
  <c r="GE60" i="11"/>
  <c r="GF60" i="11"/>
  <c r="GG60" i="11"/>
  <c r="GH60" i="11"/>
  <c r="GI60" i="11"/>
  <c r="GJ60" i="11"/>
  <c r="GK60" i="11"/>
  <c r="GL60" i="11"/>
  <c r="GM60" i="11"/>
  <c r="GN60" i="11"/>
  <c r="GO60" i="11"/>
  <c r="GP60" i="11"/>
  <c r="GQ60" i="11"/>
  <c r="GR60" i="11"/>
  <c r="GS60" i="11"/>
  <c r="GT60" i="11"/>
  <c r="GU60" i="11"/>
  <c r="GV60" i="11"/>
  <c r="GW60" i="11"/>
  <c r="GX60" i="11"/>
  <c r="GY60" i="11"/>
  <c r="GZ60" i="11"/>
  <c r="HA60" i="11"/>
  <c r="HB60" i="11"/>
  <c r="HC60" i="11"/>
  <c r="HD60" i="11"/>
  <c r="HE60" i="11"/>
  <c r="HF60" i="11"/>
  <c r="HG60" i="11"/>
  <c r="HH60" i="11"/>
  <c r="HI60" i="11"/>
  <c r="HJ60" i="11"/>
  <c r="HK60" i="11"/>
  <c r="HL60" i="11"/>
  <c r="HM60" i="11"/>
  <c r="HN60" i="11"/>
  <c r="HO60" i="11"/>
  <c r="HP60" i="11"/>
  <c r="HQ60" i="11"/>
  <c r="HR60" i="11"/>
  <c r="HS60" i="11"/>
  <c r="HT60" i="11"/>
  <c r="HU60" i="11"/>
  <c r="HV60" i="11"/>
  <c r="HW60" i="11"/>
  <c r="HX60" i="11"/>
  <c r="HY60" i="11"/>
  <c r="HZ60" i="11"/>
  <c r="IA60" i="11"/>
  <c r="IB60" i="11"/>
  <c r="IC60" i="11"/>
  <c r="ID60" i="11"/>
  <c r="IE60" i="11"/>
  <c r="IF60" i="11"/>
  <c r="IG60" i="11"/>
  <c r="IH60" i="11"/>
  <c r="II60" i="11"/>
  <c r="IJ60" i="11"/>
  <c r="IK60" i="11"/>
  <c r="IL60" i="11"/>
  <c r="IM60" i="11"/>
  <c r="IN60" i="11"/>
  <c r="IO60" i="11"/>
  <c r="IP60" i="11"/>
  <c r="IQ60" i="11"/>
  <c r="IR60" i="11"/>
  <c r="IS60" i="11"/>
  <c r="IT60" i="11"/>
  <c r="IU60" i="11"/>
  <c r="IV60" i="11"/>
  <c r="A59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V59" i="11"/>
  <c r="W59" i="11"/>
  <c r="X59" i="11"/>
  <c r="Y59" i="11"/>
  <c r="Z59" i="11"/>
  <c r="AA59" i="11"/>
  <c r="AB59" i="11"/>
  <c r="AC59" i="11"/>
  <c r="AD59" i="11"/>
  <c r="AE59" i="11"/>
  <c r="AF59" i="11"/>
  <c r="AG59" i="11"/>
  <c r="AH59" i="11"/>
  <c r="AI59" i="11"/>
  <c r="AJ59" i="11"/>
  <c r="AK59" i="11"/>
  <c r="AL59" i="11"/>
  <c r="AM59" i="11"/>
  <c r="AN59" i="11"/>
  <c r="AO59" i="11"/>
  <c r="AP59" i="11"/>
  <c r="AQ59" i="11"/>
  <c r="AR59" i="11"/>
  <c r="AS59" i="11"/>
  <c r="AT59" i="11"/>
  <c r="AU59" i="11"/>
  <c r="AV59" i="11"/>
  <c r="AW59" i="11"/>
  <c r="AX59" i="11"/>
  <c r="AY59" i="11"/>
  <c r="AZ59" i="11"/>
  <c r="BA59" i="11"/>
  <c r="BB59" i="11"/>
  <c r="BC59" i="11"/>
  <c r="BD59" i="11"/>
  <c r="BE59" i="11"/>
  <c r="BF59" i="11"/>
  <c r="BG59" i="11"/>
  <c r="BH59" i="11"/>
  <c r="BI59" i="11"/>
  <c r="BJ59" i="11"/>
  <c r="BK59" i="11"/>
  <c r="BL59" i="11"/>
  <c r="BM59" i="11"/>
  <c r="BN59" i="11"/>
  <c r="BO59" i="11"/>
  <c r="BP59" i="11"/>
  <c r="BQ59" i="11"/>
  <c r="BR59" i="11"/>
  <c r="BS59" i="11"/>
  <c r="BT59" i="11"/>
  <c r="BU59" i="11"/>
  <c r="BV59" i="11"/>
  <c r="BW59" i="11"/>
  <c r="BX59" i="11"/>
  <c r="BY59" i="11"/>
  <c r="BZ59" i="11"/>
  <c r="CA59" i="11"/>
  <c r="CB59" i="11"/>
  <c r="CC59" i="11"/>
  <c r="CD59" i="11"/>
  <c r="CE59" i="11"/>
  <c r="CF59" i="11"/>
  <c r="CG59" i="11"/>
  <c r="CH59" i="11"/>
  <c r="CI59" i="11"/>
  <c r="CJ59" i="11"/>
  <c r="CK59" i="11"/>
  <c r="CL59" i="11"/>
  <c r="CM59" i="11"/>
  <c r="CN59" i="11"/>
  <c r="CO59" i="11"/>
  <c r="CP59" i="11"/>
  <c r="CQ59" i="11"/>
  <c r="CR59" i="11"/>
  <c r="CS59" i="11"/>
  <c r="CT59" i="11"/>
  <c r="CU59" i="11"/>
  <c r="CV59" i="11"/>
  <c r="CW59" i="11"/>
  <c r="CX59" i="11"/>
  <c r="CY59" i="11"/>
  <c r="CZ59" i="11"/>
  <c r="DA59" i="11"/>
  <c r="DB59" i="11"/>
  <c r="DC59" i="11"/>
  <c r="DD59" i="11"/>
  <c r="DE59" i="11"/>
  <c r="DF59" i="11"/>
  <c r="DG59" i="11"/>
  <c r="DH59" i="11"/>
  <c r="DI59" i="11"/>
  <c r="DJ59" i="11"/>
  <c r="DK59" i="11"/>
  <c r="DL59" i="11"/>
  <c r="DM59" i="11"/>
  <c r="DN59" i="11"/>
  <c r="DO59" i="11"/>
  <c r="DP59" i="11"/>
  <c r="DQ59" i="11"/>
  <c r="DR59" i="11"/>
  <c r="DS59" i="11"/>
  <c r="DT59" i="11"/>
  <c r="DU59" i="11"/>
  <c r="DV59" i="11"/>
  <c r="DW59" i="11"/>
  <c r="DX59" i="11"/>
  <c r="DY59" i="11"/>
  <c r="DZ59" i="11"/>
  <c r="EA59" i="11"/>
  <c r="EB59" i="11"/>
  <c r="EC59" i="11"/>
  <c r="ED59" i="11"/>
  <c r="EE59" i="11"/>
  <c r="EF59" i="11"/>
  <c r="EG59" i="11"/>
  <c r="EH59" i="11"/>
  <c r="EI59" i="11"/>
  <c r="EJ59" i="11"/>
  <c r="EK59" i="11"/>
  <c r="EL59" i="11"/>
  <c r="EM59" i="11"/>
  <c r="EN59" i="11"/>
  <c r="EO59" i="11"/>
  <c r="EP59" i="11"/>
  <c r="EQ59" i="11"/>
  <c r="ER59" i="11"/>
  <c r="ES59" i="11"/>
  <c r="ET59" i="11"/>
  <c r="EU59" i="11"/>
  <c r="EV59" i="11"/>
  <c r="EW59" i="11"/>
  <c r="EX59" i="11"/>
  <c r="EY59" i="11"/>
  <c r="EZ59" i="11"/>
  <c r="FA59" i="11"/>
  <c r="FB59" i="11"/>
  <c r="FC59" i="11"/>
  <c r="FD59" i="11"/>
  <c r="FE59" i="11"/>
  <c r="FF59" i="11"/>
  <c r="FG59" i="11"/>
  <c r="FH59" i="11"/>
  <c r="FI59" i="11"/>
  <c r="FJ59" i="11"/>
  <c r="FK59" i="11"/>
  <c r="FL59" i="11"/>
  <c r="FM59" i="11"/>
  <c r="FN59" i="11"/>
  <c r="FO59" i="11"/>
  <c r="FP59" i="11"/>
  <c r="FQ59" i="11"/>
  <c r="FR59" i="11"/>
  <c r="FS59" i="11"/>
  <c r="FT59" i="11"/>
  <c r="FU59" i="11"/>
  <c r="FV59" i="11"/>
  <c r="FW59" i="11"/>
  <c r="FX59" i="11"/>
  <c r="FY59" i="11"/>
  <c r="FZ59" i="11"/>
  <c r="GA59" i="11"/>
  <c r="GB59" i="11"/>
  <c r="GC59" i="11"/>
  <c r="GD59" i="11"/>
  <c r="GE59" i="11"/>
  <c r="GF59" i="11"/>
  <c r="GG59" i="11"/>
  <c r="GH59" i="11"/>
  <c r="GI59" i="11"/>
  <c r="GJ59" i="11"/>
  <c r="GK59" i="11"/>
  <c r="GL59" i="11"/>
  <c r="GM59" i="11"/>
  <c r="GN59" i="11"/>
  <c r="GO59" i="11"/>
  <c r="GP59" i="11"/>
  <c r="GQ59" i="11"/>
  <c r="GR59" i="11"/>
  <c r="GS59" i="11"/>
  <c r="GT59" i="11"/>
  <c r="GU59" i="11"/>
  <c r="GV59" i="11"/>
  <c r="GW59" i="11"/>
  <c r="GX59" i="11"/>
  <c r="GY59" i="11"/>
  <c r="GZ59" i="11"/>
  <c r="HA59" i="11"/>
  <c r="HB59" i="11"/>
  <c r="HC59" i="11"/>
  <c r="HD59" i="11"/>
  <c r="HE59" i="11"/>
  <c r="HF59" i="11"/>
  <c r="HG59" i="11"/>
  <c r="HH59" i="11"/>
  <c r="HI59" i="11"/>
  <c r="HJ59" i="11"/>
  <c r="HK59" i="11"/>
  <c r="HL59" i="11"/>
  <c r="HM59" i="11"/>
  <c r="HN59" i="11"/>
  <c r="HO59" i="11"/>
  <c r="HP59" i="11"/>
  <c r="HQ59" i="11"/>
  <c r="HR59" i="11"/>
  <c r="HS59" i="11"/>
  <c r="HT59" i="11"/>
  <c r="HU59" i="11"/>
  <c r="HV59" i="11"/>
  <c r="HW59" i="11"/>
  <c r="HX59" i="11"/>
  <c r="HY59" i="11"/>
  <c r="HZ59" i="11"/>
  <c r="IA59" i="11"/>
  <c r="IB59" i="11"/>
  <c r="IC59" i="11"/>
  <c r="ID59" i="11"/>
  <c r="IE59" i="11"/>
  <c r="IF59" i="11"/>
  <c r="IG59" i="11"/>
  <c r="IH59" i="11"/>
  <c r="II59" i="11"/>
  <c r="IJ59" i="11"/>
  <c r="IK59" i="11"/>
  <c r="IL59" i="11"/>
  <c r="IM59" i="11"/>
  <c r="IN59" i="11"/>
  <c r="IO59" i="11"/>
  <c r="IP59" i="11"/>
  <c r="IQ59" i="11"/>
  <c r="IR59" i="11"/>
  <c r="IS59" i="11"/>
  <c r="IT59" i="11"/>
  <c r="IU59" i="11"/>
  <c r="IV59" i="11"/>
  <c r="A58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W58" i="11"/>
  <c r="X58" i="11"/>
  <c r="Y58" i="11"/>
  <c r="Z58" i="11"/>
  <c r="AA58" i="11"/>
  <c r="AB58" i="11"/>
  <c r="AC58" i="11"/>
  <c r="AD58" i="11"/>
  <c r="AE58" i="11"/>
  <c r="AF58" i="11"/>
  <c r="AG58" i="11"/>
  <c r="AH58" i="11"/>
  <c r="AI58" i="11"/>
  <c r="AJ58" i="11"/>
  <c r="AK58" i="11"/>
  <c r="AL58" i="11"/>
  <c r="AM58" i="11"/>
  <c r="AN58" i="11"/>
  <c r="AO58" i="11"/>
  <c r="AP58" i="11"/>
  <c r="AQ58" i="11"/>
  <c r="AR58" i="11"/>
  <c r="AS58" i="11"/>
  <c r="AT58" i="11"/>
  <c r="AU58" i="11"/>
  <c r="AV58" i="11"/>
  <c r="AW58" i="11"/>
  <c r="AX58" i="11"/>
  <c r="AY58" i="11"/>
  <c r="AZ58" i="11"/>
  <c r="BA58" i="11"/>
  <c r="BB58" i="11"/>
  <c r="BC58" i="11"/>
  <c r="BD58" i="11"/>
  <c r="BE58" i="11"/>
  <c r="BF58" i="11"/>
  <c r="BG58" i="11"/>
  <c r="BH58" i="11"/>
  <c r="BI58" i="11"/>
  <c r="BJ58" i="11"/>
  <c r="BK58" i="11"/>
  <c r="BL58" i="11"/>
  <c r="BM58" i="11"/>
  <c r="BN58" i="11"/>
  <c r="BO58" i="11"/>
  <c r="BP58" i="11"/>
  <c r="BQ58" i="11"/>
  <c r="BR58" i="11"/>
  <c r="BS58" i="11"/>
  <c r="BT58" i="11"/>
  <c r="BU58" i="11"/>
  <c r="BV58" i="11"/>
  <c r="BW58" i="11"/>
  <c r="BX58" i="11"/>
  <c r="BY58" i="11"/>
  <c r="BZ58" i="11"/>
  <c r="CA58" i="11"/>
  <c r="CB58" i="11"/>
  <c r="CC58" i="11"/>
  <c r="CD58" i="11"/>
  <c r="CE58" i="11"/>
  <c r="CF58" i="11"/>
  <c r="CG58" i="11"/>
  <c r="CH58" i="11"/>
  <c r="CI58" i="11"/>
  <c r="CJ58" i="11"/>
  <c r="CK58" i="11"/>
  <c r="CL58" i="11"/>
  <c r="CM58" i="11"/>
  <c r="CN58" i="11"/>
  <c r="CO58" i="11"/>
  <c r="CP58" i="11"/>
  <c r="CQ58" i="11"/>
  <c r="CR58" i="11"/>
  <c r="CS58" i="11"/>
  <c r="CT58" i="11"/>
  <c r="CU58" i="11"/>
  <c r="CV58" i="11"/>
  <c r="CW58" i="11"/>
  <c r="CX58" i="11"/>
  <c r="CY58" i="11"/>
  <c r="CZ58" i="11"/>
  <c r="DA58" i="11"/>
  <c r="DB58" i="11"/>
  <c r="DC58" i="11"/>
  <c r="DD58" i="11"/>
  <c r="DE58" i="11"/>
  <c r="DF58" i="11"/>
  <c r="DG58" i="11"/>
  <c r="DH58" i="11"/>
  <c r="DI58" i="11"/>
  <c r="DJ58" i="11"/>
  <c r="DK58" i="11"/>
  <c r="DL58" i="11"/>
  <c r="DM58" i="11"/>
  <c r="DN58" i="11"/>
  <c r="DO58" i="11"/>
  <c r="DP58" i="11"/>
  <c r="DQ58" i="11"/>
  <c r="DR58" i="11"/>
  <c r="DS58" i="11"/>
  <c r="DT58" i="11"/>
  <c r="DU58" i="11"/>
  <c r="DV58" i="11"/>
  <c r="DW58" i="11"/>
  <c r="DX58" i="11"/>
  <c r="DY58" i="11"/>
  <c r="DZ58" i="11"/>
  <c r="EA58" i="11"/>
  <c r="EB58" i="11"/>
  <c r="EC58" i="11"/>
  <c r="ED58" i="11"/>
  <c r="EE58" i="11"/>
  <c r="EF58" i="11"/>
  <c r="EG58" i="11"/>
  <c r="EH58" i="11"/>
  <c r="EI58" i="11"/>
  <c r="EJ58" i="11"/>
  <c r="EK58" i="11"/>
  <c r="EL58" i="11"/>
  <c r="EM58" i="11"/>
  <c r="EN58" i="11"/>
  <c r="EO58" i="11"/>
  <c r="EP58" i="11"/>
  <c r="EQ58" i="11"/>
  <c r="ER58" i="11"/>
  <c r="ES58" i="11"/>
  <c r="ET58" i="11"/>
  <c r="EU58" i="11"/>
  <c r="EV58" i="11"/>
  <c r="EW58" i="11"/>
  <c r="EX58" i="11"/>
  <c r="EY58" i="11"/>
  <c r="EZ58" i="11"/>
  <c r="FA58" i="11"/>
  <c r="FB58" i="11"/>
  <c r="FC58" i="11"/>
  <c r="FD58" i="11"/>
  <c r="FE58" i="11"/>
  <c r="FF58" i="11"/>
  <c r="FG58" i="11"/>
  <c r="FH58" i="11"/>
  <c r="FI58" i="11"/>
  <c r="FJ58" i="11"/>
  <c r="FK58" i="11"/>
  <c r="FL58" i="11"/>
  <c r="FM58" i="11"/>
  <c r="FN58" i="11"/>
  <c r="FO58" i="11"/>
  <c r="FP58" i="11"/>
  <c r="FQ58" i="11"/>
  <c r="FR58" i="11"/>
  <c r="FS58" i="11"/>
  <c r="FT58" i="11"/>
  <c r="FU58" i="11"/>
  <c r="FV58" i="11"/>
  <c r="FW58" i="11"/>
  <c r="FX58" i="11"/>
  <c r="FY58" i="11"/>
  <c r="FZ58" i="11"/>
  <c r="GA58" i="11"/>
  <c r="GB58" i="11"/>
  <c r="GC58" i="11"/>
  <c r="GD58" i="11"/>
  <c r="GE58" i="11"/>
  <c r="GF58" i="11"/>
  <c r="GG58" i="11"/>
  <c r="GH58" i="11"/>
  <c r="GI58" i="11"/>
  <c r="GJ58" i="11"/>
  <c r="GK58" i="11"/>
  <c r="GL58" i="11"/>
  <c r="GM58" i="11"/>
  <c r="GN58" i="11"/>
  <c r="GO58" i="11"/>
  <c r="GP58" i="11"/>
  <c r="GQ58" i="11"/>
  <c r="GR58" i="11"/>
  <c r="GS58" i="11"/>
  <c r="GT58" i="11"/>
  <c r="GU58" i="11"/>
  <c r="GV58" i="11"/>
  <c r="GW58" i="11"/>
  <c r="GX58" i="11"/>
  <c r="GY58" i="11"/>
  <c r="GZ58" i="11"/>
  <c r="HA58" i="11"/>
  <c r="HB58" i="11"/>
  <c r="HC58" i="11"/>
  <c r="HD58" i="11"/>
  <c r="HE58" i="11"/>
  <c r="HF58" i="11"/>
  <c r="HG58" i="11"/>
  <c r="HH58" i="11"/>
  <c r="HI58" i="11"/>
  <c r="HJ58" i="11"/>
  <c r="HK58" i="11"/>
  <c r="HL58" i="11"/>
  <c r="HM58" i="11"/>
  <c r="HN58" i="11"/>
  <c r="HO58" i="11"/>
  <c r="HP58" i="11"/>
  <c r="HQ58" i="11"/>
  <c r="HR58" i="11"/>
  <c r="HS58" i="11"/>
  <c r="HT58" i="11"/>
  <c r="HU58" i="11"/>
  <c r="HV58" i="11"/>
  <c r="HW58" i="11"/>
  <c r="HX58" i="11"/>
  <c r="HY58" i="11"/>
  <c r="HZ58" i="11"/>
  <c r="IA58" i="11"/>
  <c r="IB58" i="11"/>
  <c r="IC58" i="11"/>
  <c r="ID58" i="11"/>
  <c r="IE58" i="11"/>
  <c r="IF58" i="11"/>
  <c r="IG58" i="11"/>
  <c r="IH58" i="11"/>
  <c r="II58" i="11"/>
  <c r="IJ58" i="11"/>
  <c r="IK58" i="11"/>
  <c r="IL58" i="11"/>
  <c r="IM58" i="11"/>
  <c r="IN58" i="11"/>
  <c r="IO58" i="11"/>
  <c r="IP58" i="11"/>
  <c r="IQ58" i="11"/>
  <c r="IR58" i="11"/>
  <c r="IS58" i="11"/>
  <c r="IT58" i="11"/>
  <c r="IU58" i="11"/>
  <c r="IV58" i="11"/>
  <c r="A57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AL57" i="11"/>
  <c r="AM57" i="11"/>
  <c r="AN57" i="11"/>
  <c r="AO57" i="11"/>
  <c r="AP57" i="11"/>
  <c r="AQ57" i="11"/>
  <c r="AR57" i="11"/>
  <c r="AS57" i="11"/>
  <c r="AT57" i="11"/>
  <c r="AU57" i="11"/>
  <c r="AV57" i="11"/>
  <c r="AW57" i="11"/>
  <c r="AX57" i="11"/>
  <c r="AY57" i="11"/>
  <c r="AZ57" i="11"/>
  <c r="BA57" i="11"/>
  <c r="BB57" i="11"/>
  <c r="BC57" i="11"/>
  <c r="BD57" i="11"/>
  <c r="BE57" i="11"/>
  <c r="BF57" i="11"/>
  <c r="BG57" i="11"/>
  <c r="BH57" i="11"/>
  <c r="BI57" i="11"/>
  <c r="BJ57" i="11"/>
  <c r="BK57" i="11"/>
  <c r="BL57" i="11"/>
  <c r="BM57" i="11"/>
  <c r="BN57" i="11"/>
  <c r="BO57" i="11"/>
  <c r="BP57" i="11"/>
  <c r="BQ57" i="11"/>
  <c r="BR57" i="11"/>
  <c r="BS57" i="11"/>
  <c r="BT57" i="11"/>
  <c r="BU57" i="11"/>
  <c r="BV57" i="11"/>
  <c r="BW57" i="11"/>
  <c r="BX57" i="11"/>
  <c r="BY57" i="11"/>
  <c r="BZ57" i="11"/>
  <c r="CA57" i="11"/>
  <c r="CB57" i="11"/>
  <c r="CC57" i="11"/>
  <c r="CD57" i="11"/>
  <c r="CE57" i="11"/>
  <c r="CF57" i="11"/>
  <c r="CG57" i="11"/>
  <c r="CH57" i="11"/>
  <c r="CI57" i="11"/>
  <c r="CJ57" i="11"/>
  <c r="CK57" i="11"/>
  <c r="CL57" i="11"/>
  <c r="CM57" i="11"/>
  <c r="CN57" i="11"/>
  <c r="CO57" i="11"/>
  <c r="CP57" i="11"/>
  <c r="CQ57" i="11"/>
  <c r="CR57" i="11"/>
  <c r="CS57" i="11"/>
  <c r="CT57" i="11"/>
  <c r="CU57" i="11"/>
  <c r="CV57" i="11"/>
  <c r="CW57" i="11"/>
  <c r="CX57" i="11"/>
  <c r="CY57" i="11"/>
  <c r="CZ57" i="11"/>
  <c r="DA57" i="11"/>
  <c r="DB57" i="11"/>
  <c r="DC57" i="11"/>
  <c r="DD57" i="11"/>
  <c r="DE57" i="11"/>
  <c r="DF57" i="11"/>
  <c r="DG57" i="11"/>
  <c r="DH57" i="11"/>
  <c r="DI57" i="11"/>
  <c r="DJ57" i="11"/>
  <c r="DK57" i="11"/>
  <c r="DL57" i="11"/>
  <c r="DM57" i="11"/>
  <c r="DN57" i="11"/>
  <c r="DO57" i="11"/>
  <c r="DP57" i="11"/>
  <c r="DQ57" i="11"/>
  <c r="DR57" i="11"/>
  <c r="DS57" i="11"/>
  <c r="DT57" i="11"/>
  <c r="DU57" i="11"/>
  <c r="DV57" i="11"/>
  <c r="DW57" i="11"/>
  <c r="DX57" i="11"/>
  <c r="DY57" i="11"/>
  <c r="DZ57" i="11"/>
  <c r="EA57" i="11"/>
  <c r="EB57" i="11"/>
  <c r="EC57" i="11"/>
  <c r="ED57" i="11"/>
  <c r="EE57" i="11"/>
  <c r="EF57" i="11"/>
  <c r="EG57" i="11"/>
  <c r="EH57" i="11"/>
  <c r="EI57" i="11"/>
  <c r="EJ57" i="11"/>
  <c r="EK57" i="11"/>
  <c r="EL57" i="11"/>
  <c r="EM57" i="11"/>
  <c r="EN57" i="11"/>
  <c r="EO57" i="11"/>
  <c r="EP57" i="11"/>
  <c r="EQ57" i="11"/>
  <c r="ER57" i="11"/>
  <c r="ES57" i="11"/>
  <c r="ET57" i="11"/>
  <c r="EU57" i="11"/>
  <c r="EV57" i="11"/>
  <c r="EW57" i="11"/>
  <c r="EX57" i="11"/>
  <c r="EY57" i="11"/>
  <c r="EZ57" i="11"/>
  <c r="FA57" i="11"/>
  <c r="FB57" i="11"/>
  <c r="FC57" i="11"/>
  <c r="FD57" i="11"/>
  <c r="FE57" i="11"/>
  <c r="FF57" i="11"/>
  <c r="FG57" i="11"/>
  <c r="FH57" i="11"/>
  <c r="FI57" i="11"/>
  <c r="FJ57" i="11"/>
  <c r="FK57" i="11"/>
  <c r="FL57" i="11"/>
  <c r="FM57" i="11"/>
  <c r="FN57" i="11"/>
  <c r="FO57" i="11"/>
  <c r="FP57" i="11"/>
  <c r="FQ57" i="11"/>
  <c r="FR57" i="11"/>
  <c r="FS57" i="11"/>
  <c r="FT57" i="11"/>
  <c r="FU57" i="11"/>
  <c r="FV57" i="11"/>
  <c r="FW57" i="11"/>
  <c r="FX57" i="11"/>
  <c r="FY57" i="11"/>
  <c r="FZ57" i="11"/>
  <c r="GA57" i="11"/>
  <c r="GB57" i="11"/>
  <c r="GC57" i="11"/>
  <c r="GD57" i="11"/>
  <c r="GE57" i="11"/>
  <c r="GF57" i="11"/>
  <c r="GG57" i="11"/>
  <c r="GH57" i="11"/>
  <c r="GI57" i="11"/>
  <c r="GJ57" i="11"/>
  <c r="GK57" i="11"/>
  <c r="GL57" i="11"/>
  <c r="GM57" i="11"/>
  <c r="GN57" i="11"/>
  <c r="GO57" i="11"/>
  <c r="GP57" i="11"/>
  <c r="GQ57" i="11"/>
  <c r="GR57" i="11"/>
  <c r="GS57" i="11"/>
  <c r="GT57" i="11"/>
  <c r="GU57" i="11"/>
  <c r="GV57" i="11"/>
  <c r="GW57" i="11"/>
  <c r="GX57" i="11"/>
  <c r="GY57" i="11"/>
  <c r="GZ57" i="11"/>
  <c r="HA57" i="11"/>
  <c r="HB57" i="11"/>
  <c r="HC57" i="11"/>
  <c r="HD57" i="11"/>
  <c r="HE57" i="11"/>
  <c r="HF57" i="11"/>
  <c r="HG57" i="11"/>
  <c r="HH57" i="11"/>
  <c r="HI57" i="11"/>
  <c r="HJ57" i="11"/>
  <c r="HK57" i="11"/>
  <c r="HL57" i="11"/>
  <c r="HM57" i="11"/>
  <c r="HN57" i="11"/>
  <c r="HO57" i="11"/>
  <c r="HP57" i="11"/>
  <c r="HQ57" i="11"/>
  <c r="HR57" i="11"/>
  <c r="HS57" i="11"/>
  <c r="HT57" i="11"/>
  <c r="HU57" i="11"/>
  <c r="HV57" i="11"/>
  <c r="HW57" i="11"/>
  <c r="HX57" i="11"/>
  <c r="HY57" i="11"/>
  <c r="HZ57" i="11"/>
  <c r="IA57" i="11"/>
  <c r="IB57" i="11"/>
  <c r="IC57" i="11"/>
  <c r="ID57" i="11"/>
  <c r="IE57" i="11"/>
  <c r="IF57" i="11"/>
  <c r="IG57" i="11"/>
  <c r="IH57" i="11"/>
  <c r="II57" i="11"/>
  <c r="IJ57" i="11"/>
  <c r="IK57" i="11"/>
  <c r="IL57" i="11"/>
  <c r="IM57" i="11"/>
  <c r="IN57" i="11"/>
  <c r="IO57" i="11"/>
  <c r="IP57" i="11"/>
  <c r="IQ57" i="11"/>
  <c r="IR57" i="11"/>
  <c r="IS57" i="11"/>
  <c r="IT57" i="11"/>
  <c r="IU57" i="11"/>
  <c r="IV57" i="11"/>
  <c r="A56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AI56" i="11"/>
  <c r="AJ56" i="11"/>
  <c r="AK56" i="11"/>
  <c r="AL56" i="11"/>
  <c r="AM56" i="11"/>
  <c r="AN56" i="11"/>
  <c r="AO56" i="11"/>
  <c r="AP56" i="11"/>
  <c r="AQ56" i="11"/>
  <c r="AR56" i="11"/>
  <c r="AS56" i="11"/>
  <c r="AT56" i="11"/>
  <c r="AU56" i="11"/>
  <c r="AV56" i="11"/>
  <c r="AW56" i="11"/>
  <c r="AX56" i="11"/>
  <c r="AY56" i="11"/>
  <c r="AZ56" i="11"/>
  <c r="BA56" i="11"/>
  <c r="BB56" i="11"/>
  <c r="BC56" i="11"/>
  <c r="BD56" i="11"/>
  <c r="BE56" i="11"/>
  <c r="BF56" i="11"/>
  <c r="BG56" i="11"/>
  <c r="BH56" i="11"/>
  <c r="BI56" i="11"/>
  <c r="BJ56" i="11"/>
  <c r="BK56" i="11"/>
  <c r="BL56" i="11"/>
  <c r="BM56" i="11"/>
  <c r="BN56" i="11"/>
  <c r="BO56" i="11"/>
  <c r="BP56" i="11"/>
  <c r="BQ56" i="11"/>
  <c r="BR56" i="11"/>
  <c r="BS56" i="11"/>
  <c r="BT56" i="11"/>
  <c r="BU56" i="11"/>
  <c r="BV56" i="11"/>
  <c r="BW56" i="11"/>
  <c r="BX56" i="11"/>
  <c r="BY56" i="11"/>
  <c r="BZ56" i="11"/>
  <c r="CA56" i="11"/>
  <c r="CB56" i="11"/>
  <c r="CC56" i="11"/>
  <c r="CD56" i="11"/>
  <c r="CE56" i="11"/>
  <c r="CF56" i="11"/>
  <c r="CG56" i="11"/>
  <c r="CH56" i="11"/>
  <c r="CI56" i="11"/>
  <c r="CJ56" i="11"/>
  <c r="CK56" i="11"/>
  <c r="CL56" i="11"/>
  <c r="CM56" i="11"/>
  <c r="CN56" i="11"/>
  <c r="CO56" i="11"/>
  <c r="CP56" i="11"/>
  <c r="CQ56" i="11"/>
  <c r="CR56" i="11"/>
  <c r="CS56" i="11"/>
  <c r="CT56" i="11"/>
  <c r="CU56" i="11"/>
  <c r="CV56" i="11"/>
  <c r="CW56" i="11"/>
  <c r="CX56" i="11"/>
  <c r="CY56" i="11"/>
  <c r="CZ56" i="11"/>
  <c r="DA56" i="11"/>
  <c r="DB56" i="11"/>
  <c r="DC56" i="11"/>
  <c r="DD56" i="11"/>
  <c r="DE56" i="11"/>
  <c r="DF56" i="11"/>
  <c r="DG56" i="11"/>
  <c r="DH56" i="11"/>
  <c r="DI56" i="11"/>
  <c r="DJ56" i="11"/>
  <c r="DK56" i="11"/>
  <c r="DL56" i="11"/>
  <c r="DM56" i="11"/>
  <c r="DN56" i="11"/>
  <c r="DO56" i="11"/>
  <c r="DP56" i="11"/>
  <c r="DQ56" i="11"/>
  <c r="DR56" i="11"/>
  <c r="DS56" i="11"/>
  <c r="DT56" i="11"/>
  <c r="DU56" i="11"/>
  <c r="DV56" i="11"/>
  <c r="DW56" i="11"/>
  <c r="DX56" i="11"/>
  <c r="DY56" i="11"/>
  <c r="DZ56" i="11"/>
  <c r="EA56" i="11"/>
  <c r="EB56" i="11"/>
  <c r="EC56" i="11"/>
  <c r="ED56" i="11"/>
  <c r="EE56" i="11"/>
  <c r="EF56" i="11"/>
  <c r="EG56" i="11"/>
  <c r="EH56" i="11"/>
  <c r="EI56" i="11"/>
  <c r="EJ56" i="11"/>
  <c r="EK56" i="11"/>
  <c r="EL56" i="11"/>
  <c r="EM56" i="11"/>
  <c r="EN56" i="11"/>
  <c r="EO56" i="11"/>
  <c r="EP56" i="11"/>
  <c r="EQ56" i="11"/>
  <c r="ER56" i="11"/>
  <c r="ES56" i="11"/>
  <c r="ET56" i="11"/>
  <c r="EU56" i="11"/>
  <c r="EV56" i="11"/>
  <c r="EW56" i="11"/>
  <c r="EX56" i="11"/>
  <c r="EY56" i="11"/>
  <c r="EZ56" i="11"/>
  <c r="FA56" i="11"/>
  <c r="FB56" i="11"/>
  <c r="FC56" i="11"/>
  <c r="FD56" i="11"/>
  <c r="FE56" i="11"/>
  <c r="FF56" i="11"/>
  <c r="FG56" i="11"/>
  <c r="FH56" i="11"/>
  <c r="FI56" i="11"/>
  <c r="FJ56" i="11"/>
  <c r="FK56" i="11"/>
  <c r="FL56" i="11"/>
  <c r="FM56" i="11"/>
  <c r="FN56" i="11"/>
  <c r="FO56" i="11"/>
  <c r="FP56" i="11"/>
  <c r="FQ56" i="11"/>
  <c r="FR56" i="11"/>
  <c r="FS56" i="11"/>
  <c r="FT56" i="11"/>
  <c r="FU56" i="11"/>
  <c r="FV56" i="11"/>
  <c r="FW56" i="11"/>
  <c r="FX56" i="11"/>
  <c r="FY56" i="11"/>
  <c r="FZ56" i="11"/>
  <c r="GA56" i="11"/>
  <c r="GB56" i="11"/>
  <c r="GC56" i="11"/>
  <c r="GD56" i="11"/>
  <c r="GE56" i="11"/>
  <c r="GF56" i="11"/>
  <c r="GG56" i="11"/>
  <c r="GH56" i="11"/>
  <c r="GI56" i="11"/>
  <c r="GJ56" i="11"/>
  <c r="GK56" i="11"/>
  <c r="GL56" i="11"/>
  <c r="GM56" i="11"/>
  <c r="GN56" i="11"/>
  <c r="GO56" i="11"/>
  <c r="GP56" i="11"/>
  <c r="GQ56" i="11"/>
  <c r="GR56" i="11"/>
  <c r="GS56" i="11"/>
  <c r="GT56" i="11"/>
  <c r="GU56" i="11"/>
  <c r="GV56" i="11"/>
  <c r="GW56" i="11"/>
  <c r="GX56" i="11"/>
  <c r="GY56" i="11"/>
  <c r="GZ56" i="11"/>
  <c r="HA56" i="11"/>
  <c r="HB56" i="11"/>
  <c r="HC56" i="11"/>
  <c r="HD56" i="11"/>
  <c r="HE56" i="11"/>
  <c r="HF56" i="11"/>
  <c r="HG56" i="11"/>
  <c r="HH56" i="11"/>
  <c r="HI56" i="11"/>
  <c r="HJ56" i="11"/>
  <c r="HK56" i="11"/>
  <c r="HL56" i="11"/>
  <c r="HM56" i="11"/>
  <c r="HN56" i="11"/>
  <c r="HO56" i="11"/>
  <c r="HP56" i="11"/>
  <c r="HQ56" i="11"/>
  <c r="HR56" i="11"/>
  <c r="HS56" i="11"/>
  <c r="HT56" i="11"/>
  <c r="HU56" i="11"/>
  <c r="HV56" i="11"/>
  <c r="HW56" i="11"/>
  <c r="HX56" i="11"/>
  <c r="HY56" i="11"/>
  <c r="HZ56" i="11"/>
  <c r="IA56" i="11"/>
  <c r="IB56" i="11"/>
  <c r="IC56" i="11"/>
  <c r="ID56" i="11"/>
  <c r="IE56" i="11"/>
  <c r="IF56" i="11"/>
  <c r="IG56" i="11"/>
  <c r="IH56" i="11"/>
  <c r="II56" i="11"/>
  <c r="IJ56" i="11"/>
  <c r="IK56" i="11"/>
  <c r="IL56" i="11"/>
  <c r="IM56" i="11"/>
  <c r="IN56" i="11"/>
  <c r="IO56" i="11"/>
  <c r="IP56" i="11"/>
  <c r="IQ56" i="11"/>
  <c r="IR56" i="11"/>
  <c r="IS56" i="11"/>
  <c r="IT56" i="11"/>
  <c r="IU56" i="11"/>
  <c r="IV56" i="11"/>
  <c r="A55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AI55" i="1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AV55" i="11"/>
  <c r="AW55" i="11"/>
  <c r="AX55" i="11"/>
  <c r="AY55" i="11"/>
  <c r="AZ55" i="11"/>
  <c r="BA55" i="11"/>
  <c r="BB55" i="11"/>
  <c r="BC55" i="11"/>
  <c r="BD55" i="11"/>
  <c r="BE55" i="11"/>
  <c r="BF55" i="11"/>
  <c r="BG55" i="11"/>
  <c r="BH55" i="11"/>
  <c r="BI55" i="11"/>
  <c r="BJ55" i="11"/>
  <c r="BK55" i="11"/>
  <c r="BL55" i="11"/>
  <c r="BM55" i="11"/>
  <c r="BN55" i="11"/>
  <c r="BO55" i="11"/>
  <c r="BP55" i="11"/>
  <c r="BQ55" i="11"/>
  <c r="BR55" i="11"/>
  <c r="BS55" i="11"/>
  <c r="BT55" i="11"/>
  <c r="BU55" i="11"/>
  <c r="BV55" i="11"/>
  <c r="BW55" i="11"/>
  <c r="BX55" i="11"/>
  <c r="BY55" i="11"/>
  <c r="BZ55" i="11"/>
  <c r="CA55" i="11"/>
  <c r="CB55" i="11"/>
  <c r="CC55" i="11"/>
  <c r="CD55" i="11"/>
  <c r="CE55" i="11"/>
  <c r="CF55" i="11"/>
  <c r="CG55" i="11"/>
  <c r="CH55" i="11"/>
  <c r="CI55" i="11"/>
  <c r="CJ55" i="11"/>
  <c r="CK55" i="11"/>
  <c r="CL55" i="11"/>
  <c r="CM55" i="11"/>
  <c r="CN55" i="11"/>
  <c r="CO55" i="11"/>
  <c r="CP55" i="11"/>
  <c r="CQ55" i="11"/>
  <c r="CR55" i="11"/>
  <c r="CS55" i="11"/>
  <c r="CT55" i="11"/>
  <c r="CU55" i="11"/>
  <c r="CV55" i="11"/>
  <c r="CW55" i="11"/>
  <c r="CX55" i="11"/>
  <c r="CY55" i="11"/>
  <c r="CZ55" i="11"/>
  <c r="DA55" i="11"/>
  <c r="DB55" i="11"/>
  <c r="DC55" i="11"/>
  <c r="DD55" i="11"/>
  <c r="DE55" i="11"/>
  <c r="DF55" i="11"/>
  <c r="DG55" i="11"/>
  <c r="DH55" i="11"/>
  <c r="DI55" i="11"/>
  <c r="DJ55" i="11"/>
  <c r="DK55" i="11"/>
  <c r="DL55" i="11"/>
  <c r="DM55" i="11"/>
  <c r="DN55" i="11"/>
  <c r="DO55" i="11"/>
  <c r="DP55" i="11"/>
  <c r="DQ55" i="11"/>
  <c r="DR55" i="11"/>
  <c r="DS55" i="11"/>
  <c r="DT55" i="11"/>
  <c r="DU55" i="11"/>
  <c r="DV55" i="11"/>
  <c r="DW55" i="11"/>
  <c r="DX55" i="11"/>
  <c r="DY55" i="11"/>
  <c r="DZ55" i="11"/>
  <c r="EA55" i="11"/>
  <c r="EB55" i="11"/>
  <c r="EC55" i="11"/>
  <c r="ED55" i="11"/>
  <c r="EE55" i="11"/>
  <c r="EF55" i="11"/>
  <c r="EG55" i="11"/>
  <c r="EH55" i="11"/>
  <c r="EI55" i="11"/>
  <c r="EJ55" i="11"/>
  <c r="EK55" i="11"/>
  <c r="EL55" i="11"/>
  <c r="EM55" i="11"/>
  <c r="EN55" i="11"/>
  <c r="EO55" i="11"/>
  <c r="EP55" i="11"/>
  <c r="EQ55" i="11"/>
  <c r="ER55" i="11"/>
  <c r="ES55" i="11"/>
  <c r="ET55" i="11"/>
  <c r="EU55" i="11"/>
  <c r="EV55" i="11"/>
  <c r="EW55" i="11"/>
  <c r="EX55" i="11"/>
  <c r="EY55" i="11"/>
  <c r="EZ55" i="11"/>
  <c r="FA55" i="11"/>
  <c r="FB55" i="11"/>
  <c r="FC55" i="11"/>
  <c r="FD55" i="11"/>
  <c r="FE55" i="11"/>
  <c r="FF55" i="11"/>
  <c r="FG55" i="11"/>
  <c r="FH55" i="11"/>
  <c r="FI55" i="11"/>
  <c r="FJ55" i="11"/>
  <c r="FK55" i="11"/>
  <c r="FL55" i="11"/>
  <c r="FM55" i="11"/>
  <c r="FN55" i="11"/>
  <c r="FO55" i="11"/>
  <c r="FP55" i="11"/>
  <c r="FQ55" i="11"/>
  <c r="FR55" i="11"/>
  <c r="FS55" i="11"/>
  <c r="FT55" i="11"/>
  <c r="FU55" i="11"/>
  <c r="FV55" i="11"/>
  <c r="FW55" i="11"/>
  <c r="FX55" i="11"/>
  <c r="FY55" i="11"/>
  <c r="FZ55" i="11"/>
  <c r="GA55" i="11"/>
  <c r="GB55" i="11"/>
  <c r="GC55" i="11"/>
  <c r="GD55" i="11"/>
  <c r="GE55" i="11"/>
  <c r="GF55" i="11"/>
  <c r="GG55" i="11"/>
  <c r="GH55" i="11"/>
  <c r="GI55" i="11"/>
  <c r="GJ55" i="11"/>
  <c r="GK55" i="11"/>
  <c r="GL55" i="11"/>
  <c r="GM55" i="11"/>
  <c r="GN55" i="11"/>
  <c r="GO55" i="11"/>
  <c r="GP55" i="11"/>
  <c r="GQ55" i="11"/>
  <c r="GR55" i="11"/>
  <c r="GS55" i="11"/>
  <c r="GT55" i="11"/>
  <c r="GU55" i="11"/>
  <c r="GV55" i="11"/>
  <c r="GW55" i="11"/>
  <c r="GX55" i="11"/>
  <c r="GY55" i="11"/>
  <c r="GZ55" i="11"/>
  <c r="HA55" i="11"/>
  <c r="HB55" i="11"/>
  <c r="HC55" i="11"/>
  <c r="HD55" i="11"/>
  <c r="HE55" i="11"/>
  <c r="HF55" i="11"/>
  <c r="HG55" i="11"/>
  <c r="HH55" i="11"/>
  <c r="HI55" i="11"/>
  <c r="HJ55" i="11"/>
  <c r="HK55" i="11"/>
  <c r="HL55" i="11"/>
  <c r="HM55" i="11"/>
  <c r="HN55" i="11"/>
  <c r="HO55" i="11"/>
  <c r="HP55" i="11"/>
  <c r="HQ55" i="11"/>
  <c r="HR55" i="11"/>
  <c r="HS55" i="11"/>
  <c r="HT55" i="11"/>
  <c r="HU55" i="11"/>
  <c r="HV55" i="11"/>
  <c r="HW55" i="11"/>
  <c r="HX55" i="11"/>
  <c r="HY55" i="11"/>
  <c r="HZ55" i="11"/>
  <c r="IA55" i="11"/>
  <c r="IB55" i="11"/>
  <c r="IC55" i="11"/>
  <c r="ID55" i="11"/>
  <c r="IE55" i="11"/>
  <c r="IF55" i="11"/>
  <c r="IG55" i="11"/>
  <c r="IH55" i="11"/>
  <c r="II55" i="11"/>
  <c r="IJ55" i="11"/>
  <c r="IK55" i="11"/>
  <c r="IL55" i="11"/>
  <c r="IM55" i="11"/>
  <c r="IN55" i="11"/>
  <c r="IO55" i="11"/>
  <c r="IP55" i="11"/>
  <c r="IQ55" i="11"/>
  <c r="IR55" i="11"/>
  <c r="IS55" i="11"/>
  <c r="IT55" i="11"/>
  <c r="IU55" i="11"/>
  <c r="IV55" i="11"/>
  <c r="A54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D54" i="11"/>
  <c r="AE54" i="11"/>
  <c r="AF54" i="11"/>
  <c r="AG54" i="11"/>
  <c r="AH54" i="11"/>
  <c r="AI54" i="11"/>
  <c r="AJ54" i="11"/>
  <c r="AK54" i="11"/>
  <c r="AL54" i="11"/>
  <c r="AM54" i="11"/>
  <c r="AN54" i="11"/>
  <c r="AO54" i="11"/>
  <c r="AP54" i="11"/>
  <c r="AQ54" i="11"/>
  <c r="AR54" i="11"/>
  <c r="AS54" i="11"/>
  <c r="AT54" i="11"/>
  <c r="AU54" i="11"/>
  <c r="AV54" i="11"/>
  <c r="AW54" i="11"/>
  <c r="AX54" i="11"/>
  <c r="AY54" i="11"/>
  <c r="AZ54" i="11"/>
  <c r="BA54" i="11"/>
  <c r="BB54" i="11"/>
  <c r="BC54" i="11"/>
  <c r="BD54" i="11"/>
  <c r="BE54" i="11"/>
  <c r="BF54" i="11"/>
  <c r="BG54" i="11"/>
  <c r="BH54" i="11"/>
  <c r="BI54" i="11"/>
  <c r="BJ54" i="11"/>
  <c r="BK54" i="11"/>
  <c r="BL54" i="11"/>
  <c r="BM54" i="11"/>
  <c r="BN54" i="11"/>
  <c r="BO54" i="11"/>
  <c r="BP54" i="11"/>
  <c r="BQ54" i="11"/>
  <c r="BR54" i="11"/>
  <c r="BS54" i="11"/>
  <c r="BT54" i="11"/>
  <c r="BU54" i="11"/>
  <c r="BV54" i="11"/>
  <c r="BW54" i="11"/>
  <c r="BX54" i="11"/>
  <c r="BY54" i="11"/>
  <c r="BZ54" i="11"/>
  <c r="CA54" i="11"/>
  <c r="CB54" i="11"/>
  <c r="CC54" i="11"/>
  <c r="CD54" i="11"/>
  <c r="CE54" i="11"/>
  <c r="CF54" i="11"/>
  <c r="CG54" i="11"/>
  <c r="CH54" i="11"/>
  <c r="CI54" i="11"/>
  <c r="CJ54" i="11"/>
  <c r="CK54" i="11"/>
  <c r="CL54" i="11"/>
  <c r="CM54" i="11"/>
  <c r="CN54" i="11"/>
  <c r="CO54" i="11"/>
  <c r="CP54" i="11"/>
  <c r="CQ54" i="11"/>
  <c r="CR54" i="11"/>
  <c r="CS54" i="11"/>
  <c r="CT54" i="11"/>
  <c r="CU54" i="11"/>
  <c r="CV54" i="11"/>
  <c r="CW54" i="11"/>
  <c r="CX54" i="11"/>
  <c r="CY54" i="11"/>
  <c r="CZ54" i="11"/>
  <c r="DA54" i="11"/>
  <c r="DB54" i="11"/>
  <c r="DC54" i="11"/>
  <c r="DD54" i="11"/>
  <c r="DE54" i="11"/>
  <c r="DF54" i="11"/>
  <c r="DG54" i="11"/>
  <c r="DH54" i="11"/>
  <c r="DI54" i="11"/>
  <c r="DJ54" i="11"/>
  <c r="DK54" i="11"/>
  <c r="DL54" i="11"/>
  <c r="DM54" i="11"/>
  <c r="DN54" i="11"/>
  <c r="DO54" i="11"/>
  <c r="DP54" i="11"/>
  <c r="DQ54" i="11"/>
  <c r="DR54" i="11"/>
  <c r="DS54" i="11"/>
  <c r="DT54" i="11"/>
  <c r="DU54" i="11"/>
  <c r="DV54" i="11"/>
  <c r="DW54" i="11"/>
  <c r="DX54" i="11"/>
  <c r="DY54" i="11"/>
  <c r="DZ54" i="11"/>
  <c r="EA54" i="11"/>
  <c r="EB54" i="11"/>
  <c r="EC54" i="11"/>
  <c r="ED54" i="11"/>
  <c r="EE54" i="11"/>
  <c r="EF54" i="11"/>
  <c r="EG54" i="11"/>
  <c r="EH54" i="11"/>
  <c r="EI54" i="11"/>
  <c r="EJ54" i="11"/>
  <c r="EK54" i="11"/>
  <c r="EL54" i="11"/>
  <c r="EM54" i="11"/>
  <c r="EN54" i="11"/>
  <c r="EO54" i="11"/>
  <c r="EP54" i="11"/>
  <c r="EQ54" i="11"/>
  <c r="ER54" i="11"/>
  <c r="ES54" i="11"/>
  <c r="ET54" i="11"/>
  <c r="EU54" i="11"/>
  <c r="EV54" i="11"/>
  <c r="EW54" i="11"/>
  <c r="EX54" i="11"/>
  <c r="EY54" i="11"/>
  <c r="EZ54" i="11"/>
  <c r="FA54" i="11"/>
  <c r="FB54" i="11"/>
  <c r="FC54" i="11"/>
  <c r="FD54" i="11"/>
  <c r="FE54" i="11"/>
  <c r="FF54" i="11"/>
  <c r="FG54" i="11"/>
  <c r="FH54" i="11"/>
  <c r="FI54" i="11"/>
  <c r="FJ54" i="11"/>
  <c r="FK54" i="11"/>
  <c r="FL54" i="11"/>
  <c r="FM54" i="11"/>
  <c r="FN54" i="11"/>
  <c r="FO54" i="11"/>
  <c r="FP54" i="11"/>
  <c r="FQ54" i="11"/>
  <c r="FR54" i="11"/>
  <c r="FS54" i="11"/>
  <c r="FT54" i="11"/>
  <c r="FU54" i="11"/>
  <c r="FV54" i="11"/>
  <c r="FW54" i="11"/>
  <c r="FX54" i="11"/>
  <c r="FY54" i="11"/>
  <c r="FZ54" i="11"/>
  <c r="GA54" i="11"/>
  <c r="GB54" i="11"/>
  <c r="GC54" i="11"/>
  <c r="GD54" i="11"/>
  <c r="GE54" i="11"/>
  <c r="GF54" i="11"/>
  <c r="GG54" i="11"/>
  <c r="GH54" i="11"/>
  <c r="GI54" i="11"/>
  <c r="GJ54" i="11"/>
  <c r="GK54" i="11"/>
  <c r="GL54" i="11"/>
  <c r="GM54" i="11"/>
  <c r="GN54" i="11"/>
  <c r="GO54" i="11"/>
  <c r="GP54" i="11"/>
  <c r="GQ54" i="11"/>
  <c r="GR54" i="11"/>
  <c r="GS54" i="11"/>
  <c r="GT54" i="11"/>
  <c r="GU54" i="11"/>
  <c r="GV54" i="11"/>
  <c r="GW54" i="11"/>
  <c r="GX54" i="11"/>
  <c r="GY54" i="11"/>
  <c r="GZ54" i="11"/>
  <c r="HA54" i="11"/>
  <c r="HB54" i="11"/>
  <c r="HC54" i="11"/>
  <c r="HD54" i="11"/>
  <c r="HE54" i="11"/>
  <c r="HF54" i="11"/>
  <c r="HG54" i="11"/>
  <c r="HH54" i="11"/>
  <c r="HI54" i="11"/>
  <c r="HJ54" i="11"/>
  <c r="HK54" i="11"/>
  <c r="HL54" i="11"/>
  <c r="HM54" i="11"/>
  <c r="HN54" i="11"/>
  <c r="HO54" i="11"/>
  <c r="HP54" i="11"/>
  <c r="HQ54" i="11"/>
  <c r="HR54" i="11"/>
  <c r="HS54" i="11"/>
  <c r="HT54" i="11"/>
  <c r="HU54" i="11"/>
  <c r="HV54" i="11"/>
  <c r="HW54" i="11"/>
  <c r="HX54" i="11"/>
  <c r="HY54" i="11"/>
  <c r="HZ54" i="11"/>
  <c r="IA54" i="11"/>
  <c r="IB54" i="11"/>
  <c r="IC54" i="11"/>
  <c r="ID54" i="11"/>
  <c r="IE54" i="11"/>
  <c r="IF54" i="11"/>
  <c r="IG54" i="11"/>
  <c r="IH54" i="11"/>
  <c r="II54" i="11"/>
  <c r="IJ54" i="11"/>
  <c r="IK54" i="11"/>
  <c r="IL54" i="11"/>
  <c r="IM54" i="11"/>
  <c r="IN54" i="11"/>
  <c r="IO54" i="11"/>
  <c r="IP54" i="11"/>
  <c r="IQ54" i="11"/>
  <c r="IR54" i="11"/>
  <c r="IS54" i="11"/>
  <c r="IT54" i="11"/>
  <c r="IU54" i="11"/>
  <c r="IV54" i="11"/>
  <c r="A53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AM53" i="11"/>
  <c r="AN53" i="11"/>
  <c r="AO53" i="11"/>
  <c r="AP53" i="11"/>
  <c r="AQ53" i="11"/>
  <c r="AR53" i="11"/>
  <c r="AS53" i="11"/>
  <c r="AT53" i="11"/>
  <c r="AU53" i="11"/>
  <c r="AV53" i="11"/>
  <c r="AW53" i="11"/>
  <c r="AX53" i="11"/>
  <c r="AY53" i="11"/>
  <c r="AZ53" i="11"/>
  <c r="BA53" i="11"/>
  <c r="BB53" i="11"/>
  <c r="BC53" i="11"/>
  <c r="BD53" i="11"/>
  <c r="BE53" i="11"/>
  <c r="BF53" i="11"/>
  <c r="BG53" i="11"/>
  <c r="BH53" i="11"/>
  <c r="BI53" i="11"/>
  <c r="BJ53" i="11"/>
  <c r="BK53" i="11"/>
  <c r="BL53" i="11"/>
  <c r="BM53" i="11"/>
  <c r="BN53" i="11"/>
  <c r="BO53" i="11"/>
  <c r="BP53" i="11"/>
  <c r="BQ53" i="11"/>
  <c r="BR53" i="11"/>
  <c r="BS53" i="11"/>
  <c r="BT53" i="11"/>
  <c r="BU53" i="11"/>
  <c r="BV53" i="11"/>
  <c r="BW53" i="11"/>
  <c r="BX53" i="11"/>
  <c r="BY53" i="11"/>
  <c r="BZ53" i="11"/>
  <c r="CA53" i="11"/>
  <c r="CB53" i="11"/>
  <c r="CC53" i="11"/>
  <c r="CD53" i="11"/>
  <c r="CE53" i="11"/>
  <c r="CF53" i="11"/>
  <c r="CG53" i="11"/>
  <c r="CH53" i="11"/>
  <c r="CI53" i="11"/>
  <c r="CJ53" i="11"/>
  <c r="CK53" i="11"/>
  <c r="CL53" i="11"/>
  <c r="CM53" i="11"/>
  <c r="CN53" i="11"/>
  <c r="CO53" i="11"/>
  <c r="CP53" i="11"/>
  <c r="CQ53" i="11"/>
  <c r="CR53" i="11"/>
  <c r="CS53" i="11"/>
  <c r="CT53" i="11"/>
  <c r="CU53" i="11"/>
  <c r="CV53" i="11"/>
  <c r="CW53" i="11"/>
  <c r="CX53" i="11"/>
  <c r="CY53" i="11"/>
  <c r="CZ53" i="11"/>
  <c r="DA53" i="11"/>
  <c r="DB53" i="11"/>
  <c r="DC53" i="11"/>
  <c r="DD53" i="11"/>
  <c r="DE53" i="11"/>
  <c r="DF53" i="11"/>
  <c r="DG53" i="11"/>
  <c r="DH53" i="11"/>
  <c r="DI53" i="11"/>
  <c r="DJ53" i="11"/>
  <c r="DK53" i="11"/>
  <c r="DL53" i="11"/>
  <c r="DM53" i="11"/>
  <c r="DN53" i="11"/>
  <c r="DO53" i="11"/>
  <c r="DP53" i="11"/>
  <c r="DQ53" i="11"/>
  <c r="DR53" i="11"/>
  <c r="DS53" i="11"/>
  <c r="DT53" i="11"/>
  <c r="DU53" i="11"/>
  <c r="DV53" i="11"/>
  <c r="DW53" i="11"/>
  <c r="DX53" i="11"/>
  <c r="DY53" i="11"/>
  <c r="DZ53" i="11"/>
  <c r="EA53" i="11"/>
  <c r="EB53" i="11"/>
  <c r="EC53" i="11"/>
  <c r="ED53" i="11"/>
  <c r="EE53" i="11"/>
  <c r="EF53" i="11"/>
  <c r="EG53" i="11"/>
  <c r="EH53" i="11"/>
  <c r="EI53" i="11"/>
  <c r="EJ53" i="11"/>
  <c r="EK53" i="11"/>
  <c r="EL53" i="11"/>
  <c r="EM53" i="11"/>
  <c r="EN53" i="11"/>
  <c r="EO53" i="11"/>
  <c r="EP53" i="11"/>
  <c r="EQ53" i="11"/>
  <c r="ER53" i="11"/>
  <c r="ES53" i="11"/>
  <c r="ET53" i="11"/>
  <c r="EU53" i="11"/>
  <c r="EV53" i="11"/>
  <c r="EW53" i="11"/>
  <c r="EX53" i="11"/>
  <c r="EY53" i="11"/>
  <c r="EZ53" i="11"/>
  <c r="FA53" i="11"/>
  <c r="FB53" i="11"/>
  <c r="FC53" i="11"/>
  <c r="FD53" i="11"/>
  <c r="FE53" i="11"/>
  <c r="FF53" i="11"/>
  <c r="FG53" i="11"/>
  <c r="FH53" i="11"/>
  <c r="FI53" i="11"/>
  <c r="FJ53" i="11"/>
  <c r="FK53" i="11"/>
  <c r="FL53" i="11"/>
  <c r="FM53" i="11"/>
  <c r="FN53" i="11"/>
  <c r="FO53" i="11"/>
  <c r="FP53" i="11"/>
  <c r="FQ53" i="11"/>
  <c r="FR53" i="11"/>
  <c r="FS53" i="11"/>
  <c r="FT53" i="11"/>
  <c r="FU53" i="11"/>
  <c r="FV53" i="11"/>
  <c r="FW53" i="11"/>
  <c r="FX53" i="11"/>
  <c r="FY53" i="11"/>
  <c r="FZ53" i="11"/>
  <c r="GA53" i="11"/>
  <c r="GB53" i="11"/>
  <c r="GC53" i="11"/>
  <c r="GD53" i="11"/>
  <c r="GE53" i="11"/>
  <c r="GF53" i="11"/>
  <c r="GG53" i="11"/>
  <c r="GH53" i="11"/>
  <c r="GI53" i="11"/>
  <c r="GJ53" i="11"/>
  <c r="GK53" i="11"/>
  <c r="GL53" i="11"/>
  <c r="GM53" i="11"/>
  <c r="GN53" i="11"/>
  <c r="GO53" i="11"/>
  <c r="GP53" i="11"/>
  <c r="GQ53" i="11"/>
  <c r="GR53" i="11"/>
  <c r="GS53" i="11"/>
  <c r="GT53" i="11"/>
  <c r="GU53" i="11"/>
  <c r="GV53" i="11"/>
  <c r="GW53" i="11"/>
  <c r="GX53" i="11"/>
  <c r="GY53" i="11"/>
  <c r="GZ53" i="11"/>
  <c r="HA53" i="11"/>
  <c r="HB53" i="11"/>
  <c r="HC53" i="11"/>
  <c r="HD53" i="11"/>
  <c r="HE53" i="11"/>
  <c r="HF53" i="11"/>
  <c r="HG53" i="11"/>
  <c r="HH53" i="11"/>
  <c r="HI53" i="11"/>
  <c r="HJ53" i="11"/>
  <c r="HK53" i="11"/>
  <c r="HL53" i="11"/>
  <c r="HM53" i="11"/>
  <c r="HN53" i="11"/>
  <c r="HO53" i="11"/>
  <c r="HP53" i="11"/>
  <c r="HQ53" i="11"/>
  <c r="HR53" i="11"/>
  <c r="HS53" i="11"/>
  <c r="HT53" i="11"/>
  <c r="HU53" i="11"/>
  <c r="HV53" i="11"/>
  <c r="HW53" i="11"/>
  <c r="HX53" i="11"/>
  <c r="HY53" i="11"/>
  <c r="HZ53" i="11"/>
  <c r="IA53" i="11"/>
  <c r="IB53" i="11"/>
  <c r="IC53" i="11"/>
  <c r="ID53" i="11"/>
  <c r="IE53" i="11"/>
  <c r="IF53" i="11"/>
  <c r="IG53" i="11"/>
  <c r="IH53" i="11"/>
  <c r="II53" i="11"/>
  <c r="IJ53" i="11"/>
  <c r="IK53" i="11"/>
  <c r="IL53" i="11"/>
  <c r="IM53" i="11"/>
  <c r="IN53" i="11"/>
  <c r="IO53" i="11"/>
  <c r="IP53" i="11"/>
  <c r="IQ53" i="11"/>
  <c r="IR53" i="11"/>
  <c r="IS53" i="11"/>
  <c r="IT53" i="11"/>
  <c r="IU53" i="11"/>
  <c r="IV53" i="11"/>
  <c r="A52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AM52" i="11"/>
  <c r="AN52" i="11"/>
  <c r="AO52" i="11"/>
  <c r="AP52" i="11"/>
  <c r="AQ52" i="11"/>
  <c r="AR52" i="11"/>
  <c r="AS52" i="11"/>
  <c r="AT52" i="11"/>
  <c r="AU52" i="11"/>
  <c r="AV52" i="11"/>
  <c r="AW52" i="11"/>
  <c r="AX52" i="11"/>
  <c r="AY52" i="11"/>
  <c r="AZ52" i="11"/>
  <c r="BA52" i="11"/>
  <c r="BB52" i="11"/>
  <c r="BC52" i="11"/>
  <c r="BD52" i="11"/>
  <c r="BE52" i="11"/>
  <c r="BF52" i="11"/>
  <c r="BG52" i="11"/>
  <c r="BH52" i="11"/>
  <c r="BI52" i="11"/>
  <c r="BJ52" i="11"/>
  <c r="BK52" i="11"/>
  <c r="BL52" i="11"/>
  <c r="BM52" i="11"/>
  <c r="BN52" i="11"/>
  <c r="BO52" i="11"/>
  <c r="BP52" i="11"/>
  <c r="BQ52" i="11"/>
  <c r="BR52" i="11"/>
  <c r="BS52" i="11"/>
  <c r="BT52" i="11"/>
  <c r="BU52" i="11"/>
  <c r="BV52" i="11"/>
  <c r="BW52" i="11"/>
  <c r="BX52" i="11"/>
  <c r="BY52" i="11"/>
  <c r="BZ52" i="11"/>
  <c r="CA52" i="11"/>
  <c r="CB52" i="11"/>
  <c r="CC52" i="11"/>
  <c r="CD52" i="11"/>
  <c r="CE52" i="11"/>
  <c r="CF52" i="11"/>
  <c r="CG52" i="11"/>
  <c r="CH52" i="11"/>
  <c r="CI52" i="11"/>
  <c r="CJ52" i="11"/>
  <c r="CK52" i="11"/>
  <c r="CL52" i="11"/>
  <c r="CM52" i="11"/>
  <c r="CN52" i="11"/>
  <c r="CO52" i="11"/>
  <c r="CP52" i="11"/>
  <c r="CQ52" i="11"/>
  <c r="CR52" i="11"/>
  <c r="CS52" i="11"/>
  <c r="CT52" i="11"/>
  <c r="CU52" i="11"/>
  <c r="CV52" i="11"/>
  <c r="CW52" i="11"/>
  <c r="CX52" i="11"/>
  <c r="CY52" i="11"/>
  <c r="CZ52" i="11"/>
  <c r="DA52" i="11"/>
  <c r="DB52" i="11"/>
  <c r="DC52" i="11"/>
  <c r="DD52" i="11"/>
  <c r="DE52" i="11"/>
  <c r="DF52" i="11"/>
  <c r="DG52" i="11"/>
  <c r="DH52" i="11"/>
  <c r="DI52" i="11"/>
  <c r="DJ52" i="11"/>
  <c r="DK52" i="11"/>
  <c r="DL52" i="11"/>
  <c r="DM52" i="11"/>
  <c r="DN52" i="11"/>
  <c r="DO52" i="11"/>
  <c r="DP52" i="11"/>
  <c r="DQ52" i="11"/>
  <c r="DR52" i="11"/>
  <c r="DS52" i="11"/>
  <c r="DT52" i="11"/>
  <c r="DU52" i="11"/>
  <c r="DV52" i="11"/>
  <c r="DW52" i="11"/>
  <c r="DX52" i="11"/>
  <c r="DY52" i="11"/>
  <c r="DZ52" i="11"/>
  <c r="EA52" i="11"/>
  <c r="EB52" i="11"/>
  <c r="EC52" i="11"/>
  <c r="ED52" i="11"/>
  <c r="EE52" i="11"/>
  <c r="EF52" i="11"/>
  <c r="EG52" i="11"/>
  <c r="EH52" i="11"/>
  <c r="EI52" i="11"/>
  <c r="EJ52" i="11"/>
  <c r="EK52" i="11"/>
  <c r="EL52" i="11"/>
  <c r="EM52" i="11"/>
  <c r="EN52" i="11"/>
  <c r="EO52" i="11"/>
  <c r="EP52" i="11"/>
  <c r="EQ52" i="11"/>
  <c r="ER52" i="11"/>
  <c r="ES52" i="11"/>
  <c r="ET52" i="11"/>
  <c r="EU52" i="11"/>
  <c r="EV52" i="11"/>
  <c r="EW52" i="11"/>
  <c r="EX52" i="11"/>
  <c r="EY52" i="11"/>
  <c r="EZ52" i="11"/>
  <c r="FA52" i="11"/>
  <c r="FB52" i="11"/>
  <c r="FC52" i="11"/>
  <c r="FD52" i="11"/>
  <c r="FE52" i="11"/>
  <c r="FF52" i="11"/>
  <c r="FG52" i="11"/>
  <c r="FH52" i="11"/>
  <c r="FI52" i="11"/>
  <c r="FJ52" i="11"/>
  <c r="FK52" i="11"/>
  <c r="FL52" i="11"/>
  <c r="FM52" i="11"/>
  <c r="FN52" i="11"/>
  <c r="FO52" i="11"/>
  <c r="FP52" i="11"/>
  <c r="FQ52" i="11"/>
  <c r="FR52" i="11"/>
  <c r="FS52" i="11"/>
  <c r="FT52" i="11"/>
  <c r="FU52" i="11"/>
  <c r="FV52" i="11"/>
  <c r="FW52" i="11"/>
  <c r="FX52" i="11"/>
  <c r="FY52" i="11"/>
  <c r="FZ52" i="11"/>
  <c r="GA52" i="11"/>
  <c r="GB52" i="11"/>
  <c r="GC52" i="11"/>
  <c r="GD52" i="11"/>
  <c r="GE52" i="11"/>
  <c r="GF52" i="11"/>
  <c r="GG52" i="11"/>
  <c r="GH52" i="11"/>
  <c r="GI52" i="11"/>
  <c r="GJ52" i="11"/>
  <c r="GK52" i="11"/>
  <c r="GL52" i="11"/>
  <c r="GM52" i="11"/>
  <c r="GN52" i="11"/>
  <c r="GO52" i="11"/>
  <c r="GP52" i="11"/>
  <c r="GQ52" i="11"/>
  <c r="GR52" i="11"/>
  <c r="GS52" i="11"/>
  <c r="GT52" i="11"/>
  <c r="GU52" i="11"/>
  <c r="GV52" i="11"/>
  <c r="GW52" i="11"/>
  <c r="GX52" i="11"/>
  <c r="GY52" i="11"/>
  <c r="GZ52" i="11"/>
  <c r="HA52" i="11"/>
  <c r="HB52" i="11"/>
  <c r="HC52" i="11"/>
  <c r="HD52" i="11"/>
  <c r="HE52" i="11"/>
  <c r="HF52" i="11"/>
  <c r="HG52" i="11"/>
  <c r="HH52" i="11"/>
  <c r="HI52" i="11"/>
  <c r="HJ52" i="11"/>
  <c r="HK52" i="11"/>
  <c r="HL52" i="11"/>
  <c r="HM52" i="11"/>
  <c r="HN52" i="11"/>
  <c r="HO52" i="11"/>
  <c r="HP52" i="11"/>
  <c r="HQ52" i="11"/>
  <c r="HR52" i="11"/>
  <c r="HS52" i="11"/>
  <c r="HT52" i="11"/>
  <c r="HU52" i="11"/>
  <c r="HV52" i="11"/>
  <c r="HW52" i="11"/>
  <c r="HX52" i="11"/>
  <c r="HY52" i="11"/>
  <c r="HZ52" i="11"/>
  <c r="IA52" i="11"/>
  <c r="IB52" i="11"/>
  <c r="IC52" i="11"/>
  <c r="ID52" i="11"/>
  <c r="IE52" i="11"/>
  <c r="IF52" i="11"/>
  <c r="IG52" i="11"/>
  <c r="IH52" i="11"/>
  <c r="II52" i="11"/>
  <c r="IJ52" i="11"/>
  <c r="IK52" i="11"/>
  <c r="IL52" i="11"/>
  <c r="IM52" i="11"/>
  <c r="IN52" i="11"/>
  <c r="IO52" i="11"/>
  <c r="IP52" i="11"/>
  <c r="IQ52" i="11"/>
  <c r="IR52" i="11"/>
  <c r="IS52" i="11"/>
  <c r="IT52" i="11"/>
  <c r="IU52" i="11"/>
  <c r="IV52" i="11"/>
  <c r="A51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AM51" i="11"/>
  <c r="AN51" i="11"/>
  <c r="AO51" i="11"/>
  <c r="AP51" i="11"/>
  <c r="AQ51" i="11"/>
  <c r="AR51" i="11"/>
  <c r="AS51" i="11"/>
  <c r="AT51" i="11"/>
  <c r="AU51" i="11"/>
  <c r="AV51" i="11"/>
  <c r="AW51" i="11"/>
  <c r="AX51" i="11"/>
  <c r="AY51" i="11"/>
  <c r="AZ51" i="11"/>
  <c r="BA51" i="11"/>
  <c r="BB51" i="11"/>
  <c r="BC51" i="11"/>
  <c r="BD51" i="11"/>
  <c r="BE51" i="11"/>
  <c r="BF51" i="11"/>
  <c r="BG51" i="11"/>
  <c r="BH51" i="11"/>
  <c r="BI51" i="11"/>
  <c r="BJ51" i="11"/>
  <c r="BK51" i="11"/>
  <c r="BL51" i="11"/>
  <c r="BM51" i="11"/>
  <c r="BN51" i="11"/>
  <c r="BO51" i="11"/>
  <c r="BP51" i="11"/>
  <c r="BQ51" i="11"/>
  <c r="BR51" i="11"/>
  <c r="BS51" i="11"/>
  <c r="BT51" i="11"/>
  <c r="BU51" i="11"/>
  <c r="BV51" i="11"/>
  <c r="BW51" i="11"/>
  <c r="BX51" i="11"/>
  <c r="BY51" i="11"/>
  <c r="BZ51" i="11"/>
  <c r="CA51" i="11"/>
  <c r="CB51" i="11"/>
  <c r="CC51" i="11"/>
  <c r="CD51" i="11"/>
  <c r="CE51" i="11"/>
  <c r="CF51" i="11"/>
  <c r="CG51" i="11"/>
  <c r="CH51" i="11"/>
  <c r="CI51" i="11"/>
  <c r="CJ51" i="11"/>
  <c r="CK51" i="11"/>
  <c r="CL51" i="11"/>
  <c r="CM51" i="11"/>
  <c r="CN51" i="11"/>
  <c r="CO51" i="11"/>
  <c r="CP51" i="11"/>
  <c r="CQ51" i="11"/>
  <c r="CR51" i="11"/>
  <c r="CS51" i="11"/>
  <c r="CT51" i="11"/>
  <c r="CU51" i="11"/>
  <c r="CV51" i="11"/>
  <c r="CW51" i="11"/>
  <c r="CX51" i="11"/>
  <c r="CY51" i="11"/>
  <c r="CZ51" i="11"/>
  <c r="DA51" i="11"/>
  <c r="DB51" i="11"/>
  <c r="DC51" i="11"/>
  <c r="DD51" i="11"/>
  <c r="DE51" i="11"/>
  <c r="DF51" i="11"/>
  <c r="DG51" i="11"/>
  <c r="DH51" i="11"/>
  <c r="DI51" i="11"/>
  <c r="DJ51" i="11"/>
  <c r="DK51" i="11"/>
  <c r="DL51" i="11"/>
  <c r="DM51" i="11"/>
  <c r="DN51" i="11"/>
  <c r="DO51" i="11"/>
  <c r="DP51" i="11"/>
  <c r="DQ51" i="11"/>
  <c r="DR51" i="11"/>
  <c r="DS51" i="11"/>
  <c r="DT51" i="11"/>
  <c r="DU51" i="11"/>
  <c r="DV51" i="11"/>
  <c r="DW51" i="11"/>
  <c r="DX51" i="11"/>
  <c r="DY51" i="11"/>
  <c r="DZ51" i="11"/>
  <c r="EA51" i="11"/>
  <c r="EB51" i="11"/>
  <c r="EC51" i="11"/>
  <c r="ED51" i="11"/>
  <c r="EE51" i="11"/>
  <c r="EF51" i="11"/>
  <c r="EG51" i="11"/>
  <c r="EH51" i="11"/>
  <c r="EI51" i="11"/>
  <c r="EJ51" i="11"/>
  <c r="EK51" i="11"/>
  <c r="EL51" i="11"/>
  <c r="EM51" i="11"/>
  <c r="EN51" i="11"/>
  <c r="EO51" i="11"/>
  <c r="EP51" i="11"/>
  <c r="EQ51" i="11"/>
  <c r="ER51" i="11"/>
  <c r="ES51" i="11"/>
  <c r="ET51" i="11"/>
  <c r="EU51" i="11"/>
  <c r="EV51" i="11"/>
  <c r="EW51" i="11"/>
  <c r="EX51" i="11"/>
  <c r="EY51" i="11"/>
  <c r="EZ51" i="11"/>
  <c r="FA51" i="11"/>
  <c r="FB51" i="11"/>
  <c r="FC51" i="11"/>
  <c r="FD51" i="11"/>
  <c r="FE51" i="11"/>
  <c r="FF51" i="11"/>
  <c r="FG51" i="11"/>
  <c r="FH51" i="11"/>
  <c r="FI51" i="11"/>
  <c r="FJ51" i="11"/>
  <c r="FK51" i="11"/>
  <c r="FL51" i="11"/>
  <c r="FM51" i="11"/>
  <c r="FN51" i="11"/>
  <c r="FO51" i="11"/>
  <c r="FP51" i="11"/>
  <c r="FQ51" i="11"/>
  <c r="FR51" i="11"/>
  <c r="FS51" i="11"/>
  <c r="FT51" i="11"/>
  <c r="FU51" i="11"/>
  <c r="FV51" i="11"/>
  <c r="FW51" i="11"/>
  <c r="FX51" i="11"/>
  <c r="FY51" i="11"/>
  <c r="FZ51" i="11"/>
  <c r="GA51" i="11"/>
  <c r="GB51" i="11"/>
  <c r="GC51" i="11"/>
  <c r="GD51" i="11"/>
  <c r="GE51" i="11"/>
  <c r="GF51" i="11"/>
  <c r="GG51" i="11"/>
  <c r="GH51" i="11"/>
  <c r="GI51" i="11"/>
  <c r="GJ51" i="11"/>
  <c r="GK51" i="11"/>
  <c r="GL51" i="11"/>
  <c r="GM51" i="11"/>
  <c r="GN51" i="11"/>
  <c r="GO51" i="11"/>
  <c r="GP51" i="11"/>
  <c r="GQ51" i="11"/>
  <c r="GR51" i="11"/>
  <c r="GS51" i="11"/>
  <c r="GT51" i="11"/>
  <c r="GU51" i="11"/>
  <c r="GV51" i="11"/>
  <c r="GW51" i="11"/>
  <c r="GX51" i="11"/>
  <c r="GY51" i="11"/>
  <c r="GZ51" i="11"/>
  <c r="HA51" i="11"/>
  <c r="HB51" i="11"/>
  <c r="HC51" i="11"/>
  <c r="HD51" i="11"/>
  <c r="HE51" i="11"/>
  <c r="HF51" i="11"/>
  <c r="HG51" i="11"/>
  <c r="HH51" i="11"/>
  <c r="HI51" i="11"/>
  <c r="HJ51" i="11"/>
  <c r="HK51" i="11"/>
  <c r="HL51" i="11"/>
  <c r="HM51" i="11"/>
  <c r="HN51" i="11"/>
  <c r="HO51" i="11"/>
  <c r="HP51" i="11"/>
  <c r="HQ51" i="11"/>
  <c r="HR51" i="11"/>
  <c r="HS51" i="11"/>
  <c r="HT51" i="11"/>
  <c r="HU51" i="11"/>
  <c r="HV51" i="11"/>
  <c r="HW51" i="11"/>
  <c r="HX51" i="11"/>
  <c r="HY51" i="11"/>
  <c r="HZ51" i="11"/>
  <c r="IA51" i="11"/>
  <c r="IB51" i="11"/>
  <c r="IC51" i="11"/>
  <c r="ID51" i="11"/>
  <c r="IE51" i="11"/>
  <c r="IF51" i="11"/>
  <c r="IG51" i="11"/>
  <c r="IH51" i="11"/>
  <c r="II51" i="11"/>
  <c r="IJ51" i="11"/>
  <c r="IK51" i="11"/>
  <c r="IL51" i="11"/>
  <c r="IM51" i="11"/>
  <c r="IN51" i="11"/>
  <c r="IO51" i="11"/>
  <c r="IP51" i="11"/>
  <c r="IQ51" i="11"/>
  <c r="IR51" i="11"/>
  <c r="IS51" i="11"/>
  <c r="IT51" i="11"/>
  <c r="IU51" i="11"/>
  <c r="IV51" i="11"/>
  <c r="A50" i="11"/>
  <c r="B50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Z50" i="11"/>
  <c r="AA50" i="11"/>
  <c r="AB50" i="11"/>
  <c r="AC50" i="11"/>
  <c r="AD50" i="11"/>
  <c r="AE50" i="11"/>
  <c r="AF50" i="11"/>
  <c r="AG50" i="11"/>
  <c r="AH50" i="11"/>
  <c r="AI50" i="11"/>
  <c r="AJ50" i="11"/>
  <c r="AK50" i="11"/>
  <c r="AL50" i="11"/>
  <c r="AM50" i="11"/>
  <c r="AN50" i="11"/>
  <c r="AO50" i="11"/>
  <c r="AP50" i="11"/>
  <c r="AQ50" i="11"/>
  <c r="AR50" i="11"/>
  <c r="AS50" i="11"/>
  <c r="AT50" i="11"/>
  <c r="AU50" i="11"/>
  <c r="AV50" i="11"/>
  <c r="AW50" i="11"/>
  <c r="AX50" i="11"/>
  <c r="AY50" i="11"/>
  <c r="AZ50" i="11"/>
  <c r="BA50" i="11"/>
  <c r="BB50" i="11"/>
  <c r="BC50" i="11"/>
  <c r="BD50" i="11"/>
  <c r="BE50" i="11"/>
  <c r="BF50" i="11"/>
  <c r="BG50" i="11"/>
  <c r="BH50" i="11"/>
  <c r="BI50" i="11"/>
  <c r="BJ50" i="11"/>
  <c r="BK50" i="11"/>
  <c r="BL50" i="11"/>
  <c r="BM50" i="11"/>
  <c r="BN50" i="11"/>
  <c r="BO50" i="11"/>
  <c r="BP50" i="11"/>
  <c r="BQ50" i="11"/>
  <c r="BR50" i="11"/>
  <c r="BS50" i="11"/>
  <c r="BT50" i="11"/>
  <c r="BU50" i="11"/>
  <c r="BV50" i="11"/>
  <c r="BW50" i="11"/>
  <c r="BX50" i="11"/>
  <c r="BY50" i="11"/>
  <c r="BZ50" i="11"/>
  <c r="CA50" i="11"/>
  <c r="CB50" i="11"/>
  <c r="CC50" i="11"/>
  <c r="CD50" i="11"/>
  <c r="CE50" i="11"/>
  <c r="CF50" i="11"/>
  <c r="CG50" i="11"/>
  <c r="CH50" i="11"/>
  <c r="CI50" i="11"/>
  <c r="CJ50" i="11"/>
  <c r="CK50" i="11"/>
  <c r="CL50" i="11"/>
  <c r="CM50" i="11"/>
  <c r="CN50" i="11"/>
  <c r="CO50" i="11"/>
  <c r="CP50" i="11"/>
  <c r="CQ50" i="11"/>
  <c r="CR50" i="11"/>
  <c r="CS50" i="11"/>
  <c r="CT50" i="11"/>
  <c r="CU50" i="11"/>
  <c r="CV50" i="11"/>
  <c r="CW50" i="11"/>
  <c r="CX50" i="11"/>
  <c r="CY50" i="11"/>
  <c r="CZ50" i="11"/>
  <c r="DA50" i="11"/>
  <c r="DB50" i="11"/>
  <c r="DC50" i="11"/>
  <c r="DD50" i="11"/>
  <c r="DE50" i="11"/>
  <c r="DF50" i="11"/>
  <c r="DG50" i="11"/>
  <c r="DH50" i="11"/>
  <c r="DI50" i="11"/>
  <c r="DJ50" i="11"/>
  <c r="DK50" i="11"/>
  <c r="DL50" i="11"/>
  <c r="DM50" i="11"/>
  <c r="DN50" i="11"/>
  <c r="DO50" i="11"/>
  <c r="DP50" i="11"/>
  <c r="DQ50" i="11"/>
  <c r="DR50" i="11"/>
  <c r="DS50" i="11"/>
  <c r="DT50" i="11"/>
  <c r="DU50" i="11"/>
  <c r="DV50" i="11"/>
  <c r="DW50" i="11"/>
  <c r="DX50" i="11"/>
  <c r="DY50" i="11"/>
  <c r="DZ50" i="11"/>
  <c r="EA50" i="11"/>
  <c r="EB50" i="11"/>
  <c r="EC50" i="11"/>
  <c r="ED50" i="11"/>
  <c r="EE50" i="11"/>
  <c r="EF50" i="11"/>
  <c r="EG50" i="11"/>
  <c r="EH50" i="11"/>
  <c r="EI50" i="11"/>
  <c r="EJ50" i="11"/>
  <c r="EK50" i="11"/>
  <c r="EL50" i="11"/>
  <c r="EM50" i="11"/>
  <c r="EN50" i="11"/>
  <c r="EO50" i="11"/>
  <c r="EP50" i="11"/>
  <c r="EQ50" i="11"/>
  <c r="ER50" i="11"/>
  <c r="ES50" i="11"/>
  <c r="ET50" i="11"/>
  <c r="EU50" i="11"/>
  <c r="EV50" i="11"/>
  <c r="EW50" i="11"/>
  <c r="EX50" i="11"/>
  <c r="EY50" i="11"/>
  <c r="EZ50" i="11"/>
  <c r="FA50" i="11"/>
  <c r="FB50" i="11"/>
  <c r="FC50" i="11"/>
  <c r="FD50" i="11"/>
  <c r="FE50" i="11"/>
  <c r="FF50" i="11"/>
  <c r="FG50" i="11"/>
  <c r="FH50" i="11"/>
  <c r="FI50" i="11"/>
  <c r="FJ50" i="11"/>
  <c r="FK50" i="11"/>
  <c r="FL50" i="11"/>
  <c r="FM50" i="11"/>
  <c r="FN50" i="11"/>
  <c r="FO50" i="11"/>
  <c r="FP50" i="11"/>
  <c r="FQ50" i="11"/>
  <c r="FR50" i="11"/>
  <c r="FS50" i="11"/>
  <c r="FT50" i="11"/>
  <c r="FU50" i="11"/>
  <c r="FV50" i="11"/>
  <c r="FW50" i="11"/>
  <c r="FX50" i="11"/>
  <c r="FY50" i="11"/>
  <c r="FZ50" i="11"/>
  <c r="GA50" i="11"/>
  <c r="GB50" i="11"/>
  <c r="GC50" i="11"/>
  <c r="GD50" i="11"/>
  <c r="GE50" i="11"/>
  <c r="GF50" i="11"/>
  <c r="GG50" i="11"/>
  <c r="GH50" i="11"/>
  <c r="GI50" i="11"/>
  <c r="GJ50" i="11"/>
  <c r="GK50" i="11"/>
  <c r="GL50" i="11"/>
  <c r="GM50" i="11"/>
  <c r="GN50" i="11"/>
  <c r="GO50" i="11"/>
  <c r="GP50" i="11"/>
  <c r="GQ50" i="11"/>
  <c r="GR50" i="11"/>
  <c r="GS50" i="11"/>
  <c r="GT50" i="11"/>
  <c r="GU50" i="11"/>
  <c r="GV50" i="11"/>
  <c r="GW50" i="11"/>
  <c r="GX50" i="11"/>
  <c r="GY50" i="11"/>
  <c r="GZ50" i="11"/>
  <c r="HA50" i="11"/>
  <c r="HB50" i="11"/>
  <c r="HC50" i="11"/>
  <c r="HD50" i="11"/>
  <c r="HE50" i="11"/>
  <c r="HF50" i="11"/>
  <c r="HG50" i="11"/>
  <c r="HH50" i="11"/>
  <c r="HI50" i="11"/>
  <c r="HJ50" i="11"/>
  <c r="HK50" i="11"/>
  <c r="HL50" i="11"/>
  <c r="HM50" i="11"/>
  <c r="HN50" i="11"/>
  <c r="HO50" i="11"/>
  <c r="HP50" i="11"/>
  <c r="HQ50" i="11"/>
  <c r="HR50" i="11"/>
  <c r="HS50" i="11"/>
  <c r="HT50" i="11"/>
  <c r="HU50" i="11"/>
  <c r="HV50" i="11"/>
  <c r="HW50" i="11"/>
  <c r="HX50" i="11"/>
  <c r="HY50" i="11"/>
  <c r="HZ50" i="11"/>
  <c r="IA50" i="11"/>
  <c r="IB50" i="11"/>
  <c r="IC50" i="11"/>
  <c r="ID50" i="11"/>
  <c r="IE50" i="11"/>
  <c r="IF50" i="11"/>
  <c r="IG50" i="11"/>
  <c r="IH50" i="11"/>
  <c r="II50" i="11"/>
  <c r="IJ50" i="11"/>
  <c r="IK50" i="11"/>
  <c r="IL50" i="11"/>
  <c r="IM50" i="11"/>
  <c r="IN50" i="11"/>
  <c r="IO50" i="11"/>
  <c r="IP50" i="11"/>
  <c r="IQ50" i="11"/>
  <c r="IR50" i="11"/>
  <c r="IS50" i="11"/>
  <c r="IT50" i="11"/>
  <c r="IU50" i="11"/>
  <c r="IV50" i="11"/>
  <c r="A49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AE49" i="11"/>
  <c r="AF49" i="11"/>
  <c r="AG49" i="11"/>
  <c r="AH49" i="11"/>
  <c r="AI49" i="11"/>
  <c r="AJ49" i="11"/>
  <c r="AK49" i="11"/>
  <c r="AL49" i="11"/>
  <c r="AM49" i="11"/>
  <c r="AN49" i="11"/>
  <c r="AO49" i="11"/>
  <c r="AP49" i="11"/>
  <c r="AQ49" i="11"/>
  <c r="AR49" i="11"/>
  <c r="AS49" i="11"/>
  <c r="AT49" i="11"/>
  <c r="AU49" i="11"/>
  <c r="AV49" i="11"/>
  <c r="AW49" i="11"/>
  <c r="AX49" i="11"/>
  <c r="AY49" i="11"/>
  <c r="AZ49" i="11"/>
  <c r="BA49" i="11"/>
  <c r="BB49" i="11"/>
  <c r="BC49" i="11"/>
  <c r="BD49" i="11"/>
  <c r="BE49" i="11"/>
  <c r="BF49" i="11"/>
  <c r="BG49" i="11"/>
  <c r="BH49" i="11"/>
  <c r="BI49" i="11"/>
  <c r="BJ49" i="11"/>
  <c r="BK49" i="11"/>
  <c r="BL49" i="11"/>
  <c r="BM49" i="11"/>
  <c r="BN49" i="11"/>
  <c r="BO49" i="11"/>
  <c r="BP49" i="11"/>
  <c r="BQ49" i="11"/>
  <c r="BR49" i="11"/>
  <c r="BS49" i="11"/>
  <c r="BT49" i="11"/>
  <c r="BU49" i="11"/>
  <c r="BV49" i="11"/>
  <c r="BW49" i="11"/>
  <c r="BX49" i="11"/>
  <c r="BY49" i="11"/>
  <c r="BZ49" i="11"/>
  <c r="CA49" i="11"/>
  <c r="CB49" i="11"/>
  <c r="CC49" i="11"/>
  <c r="CD49" i="11"/>
  <c r="CE49" i="11"/>
  <c r="CF49" i="11"/>
  <c r="CG49" i="11"/>
  <c r="CH49" i="11"/>
  <c r="CI49" i="11"/>
  <c r="CJ49" i="11"/>
  <c r="CK49" i="11"/>
  <c r="CL49" i="11"/>
  <c r="CM49" i="11"/>
  <c r="CN49" i="11"/>
  <c r="CO49" i="11"/>
  <c r="CP49" i="11"/>
  <c r="CQ49" i="11"/>
  <c r="CR49" i="11"/>
  <c r="CS49" i="11"/>
  <c r="CT49" i="11"/>
  <c r="CU49" i="11"/>
  <c r="CV49" i="11"/>
  <c r="CW49" i="11"/>
  <c r="CX49" i="11"/>
  <c r="CY49" i="11"/>
  <c r="CZ49" i="11"/>
  <c r="DA49" i="11"/>
  <c r="DB49" i="11"/>
  <c r="DC49" i="11"/>
  <c r="DD49" i="11"/>
  <c r="DE49" i="11"/>
  <c r="DF49" i="11"/>
  <c r="DG49" i="11"/>
  <c r="DH49" i="11"/>
  <c r="DI49" i="11"/>
  <c r="DJ49" i="11"/>
  <c r="DK49" i="11"/>
  <c r="DL49" i="11"/>
  <c r="DM49" i="11"/>
  <c r="DN49" i="11"/>
  <c r="DO49" i="11"/>
  <c r="DP49" i="11"/>
  <c r="DQ49" i="11"/>
  <c r="DR49" i="11"/>
  <c r="DS49" i="11"/>
  <c r="DT49" i="11"/>
  <c r="DU49" i="11"/>
  <c r="DV49" i="11"/>
  <c r="DW49" i="11"/>
  <c r="DX49" i="11"/>
  <c r="DY49" i="11"/>
  <c r="DZ49" i="11"/>
  <c r="EA49" i="11"/>
  <c r="EB49" i="11"/>
  <c r="EC49" i="11"/>
  <c r="ED49" i="11"/>
  <c r="EE49" i="11"/>
  <c r="EF49" i="11"/>
  <c r="EG49" i="11"/>
  <c r="EH49" i="11"/>
  <c r="EI49" i="11"/>
  <c r="EJ49" i="11"/>
  <c r="EK49" i="11"/>
  <c r="EL49" i="11"/>
  <c r="EM49" i="11"/>
  <c r="EN49" i="11"/>
  <c r="EO49" i="11"/>
  <c r="EP49" i="11"/>
  <c r="EQ49" i="11"/>
  <c r="ER49" i="11"/>
  <c r="ES49" i="11"/>
  <c r="ET49" i="11"/>
  <c r="EU49" i="11"/>
  <c r="EV49" i="11"/>
  <c r="EW49" i="11"/>
  <c r="EX49" i="11"/>
  <c r="EY49" i="11"/>
  <c r="EZ49" i="11"/>
  <c r="FA49" i="11"/>
  <c r="FB49" i="11"/>
  <c r="FC49" i="11"/>
  <c r="FD49" i="11"/>
  <c r="FE49" i="11"/>
  <c r="FF49" i="11"/>
  <c r="FG49" i="11"/>
  <c r="FH49" i="11"/>
  <c r="FI49" i="11"/>
  <c r="FJ49" i="11"/>
  <c r="FK49" i="11"/>
  <c r="FL49" i="11"/>
  <c r="FM49" i="11"/>
  <c r="FN49" i="11"/>
  <c r="FO49" i="11"/>
  <c r="FP49" i="11"/>
  <c r="FQ49" i="11"/>
  <c r="FR49" i="11"/>
  <c r="FS49" i="11"/>
  <c r="FT49" i="11"/>
  <c r="FU49" i="11"/>
  <c r="FV49" i="11"/>
  <c r="FW49" i="11"/>
  <c r="FX49" i="11"/>
  <c r="FY49" i="11"/>
  <c r="FZ49" i="11"/>
  <c r="GA49" i="11"/>
  <c r="GB49" i="11"/>
  <c r="GC49" i="11"/>
  <c r="GD49" i="11"/>
  <c r="GE49" i="11"/>
  <c r="GF49" i="11"/>
  <c r="GG49" i="11"/>
  <c r="GH49" i="11"/>
  <c r="GI49" i="11"/>
  <c r="GJ49" i="11"/>
  <c r="GK49" i="11"/>
  <c r="GL49" i="11"/>
  <c r="GM49" i="11"/>
  <c r="GN49" i="11"/>
  <c r="GO49" i="11"/>
  <c r="GP49" i="11"/>
  <c r="GQ49" i="11"/>
  <c r="GR49" i="11"/>
  <c r="GS49" i="11"/>
  <c r="GT49" i="11"/>
  <c r="GU49" i="11"/>
  <c r="GV49" i="11"/>
  <c r="GW49" i="11"/>
  <c r="GX49" i="11"/>
  <c r="GY49" i="11"/>
  <c r="GZ49" i="11"/>
  <c r="HA49" i="11"/>
  <c r="HB49" i="11"/>
  <c r="HC49" i="11"/>
  <c r="HD49" i="11"/>
  <c r="HE49" i="11"/>
  <c r="HF49" i="11"/>
  <c r="HG49" i="11"/>
  <c r="HH49" i="11"/>
  <c r="HI49" i="11"/>
  <c r="HJ49" i="11"/>
  <c r="HK49" i="11"/>
  <c r="HL49" i="11"/>
  <c r="HM49" i="11"/>
  <c r="HN49" i="11"/>
  <c r="HO49" i="11"/>
  <c r="HP49" i="11"/>
  <c r="HQ49" i="11"/>
  <c r="HR49" i="11"/>
  <c r="HS49" i="11"/>
  <c r="HT49" i="11"/>
  <c r="HU49" i="11"/>
  <c r="HV49" i="11"/>
  <c r="HW49" i="11"/>
  <c r="HX49" i="11"/>
  <c r="HY49" i="11"/>
  <c r="HZ49" i="11"/>
  <c r="IA49" i="11"/>
  <c r="IB49" i="11"/>
  <c r="IC49" i="11"/>
  <c r="ID49" i="11"/>
  <c r="IE49" i="11"/>
  <c r="IF49" i="11"/>
  <c r="IG49" i="11"/>
  <c r="IH49" i="11"/>
  <c r="II49" i="11"/>
  <c r="IJ49" i="11"/>
  <c r="IK49" i="11"/>
  <c r="IL49" i="11"/>
  <c r="IM49" i="11"/>
  <c r="IN49" i="11"/>
  <c r="IO49" i="11"/>
  <c r="IP49" i="11"/>
  <c r="IQ49" i="11"/>
  <c r="IR49" i="11"/>
  <c r="IS49" i="11"/>
  <c r="IT49" i="11"/>
  <c r="IU49" i="11"/>
  <c r="IV49" i="11"/>
  <c r="A48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AI48" i="11"/>
  <c r="AJ48" i="11"/>
  <c r="AK48" i="11"/>
  <c r="AL48" i="11"/>
  <c r="AM48" i="11"/>
  <c r="AN48" i="11"/>
  <c r="AO48" i="11"/>
  <c r="AP48" i="11"/>
  <c r="AQ48" i="11"/>
  <c r="AR48" i="11"/>
  <c r="AS48" i="11"/>
  <c r="AT48" i="11"/>
  <c r="AU48" i="11"/>
  <c r="AV48" i="11"/>
  <c r="AW48" i="11"/>
  <c r="AX48" i="11"/>
  <c r="AY48" i="11"/>
  <c r="AZ48" i="11"/>
  <c r="BA48" i="11"/>
  <c r="BB48" i="11"/>
  <c r="BC48" i="11"/>
  <c r="BD48" i="11"/>
  <c r="BE48" i="11"/>
  <c r="BF48" i="11"/>
  <c r="BG48" i="11"/>
  <c r="BH48" i="11"/>
  <c r="BI48" i="11"/>
  <c r="BJ48" i="11"/>
  <c r="BK48" i="11"/>
  <c r="BL48" i="11"/>
  <c r="BM48" i="11"/>
  <c r="BN48" i="11"/>
  <c r="BO48" i="11"/>
  <c r="BP48" i="11"/>
  <c r="BQ48" i="11"/>
  <c r="BR48" i="11"/>
  <c r="BS48" i="11"/>
  <c r="BT48" i="11"/>
  <c r="BU48" i="11"/>
  <c r="BV48" i="11"/>
  <c r="BW48" i="11"/>
  <c r="BX48" i="11"/>
  <c r="BY48" i="11"/>
  <c r="BZ48" i="11"/>
  <c r="CA48" i="11"/>
  <c r="CB48" i="11"/>
  <c r="CC48" i="11"/>
  <c r="CD48" i="11"/>
  <c r="CE48" i="11"/>
  <c r="CF48" i="11"/>
  <c r="CG48" i="11"/>
  <c r="CH48" i="11"/>
  <c r="CI48" i="11"/>
  <c r="CJ48" i="11"/>
  <c r="CK48" i="11"/>
  <c r="CL48" i="11"/>
  <c r="CM48" i="11"/>
  <c r="CN48" i="11"/>
  <c r="CO48" i="11"/>
  <c r="CP48" i="11"/>
  <c r="CQ48" i="11"/>
  <c r="CR48" i="11"/>
  <c r="CS48" i="11"/>
  <c r="CT48" i="11"/>
  <c r="CU48" i="11"/>
  <c r="CV48" i="11"/>
  <c r="CW48" i="11"/>
  <c r="CX48" i="11"/>
  <c r="CY48" i="11"/>
  <c r="CZ48" i="11"/>
  <c r="DA48" i="11"/>
  <c r="DB48" i="11"/>
  <c r="DC48" i="11"/>
  <c r="DD48" i="11"/>
  <c r="DE48" i="11"/>
  <c r="DF48" i="11"/>
  <c r="DG48" i="11"/>
  <c r="DH48" i="11"/>
  <c r="DI48" i="11"/>
  <c r="DJ48" i="11"/>
  <c r="DK48" i="11"/>
  <c r="DL48" i="11"/>
  <c r="DM48" i="11"/>
  <c r="DN48" i="11"/>
  <c r="DO48" i="11"/>
  <c r="DP48" i="11"/>
  <c r="DQ48" i="11"/>
  <c r="DR48" i="11"/>
  <c r="DS48" i="11"/>
  <c r="DT48" i="11"/>
  <c r="DU48" i="11"/>
  <c r="DV48" i="11"/>
  <c r="DW48" i="11"/>
  <c r="DX48" i="11"/>
  <c r="DY48" i="11"/>
  <c r="DZ48" i="11"/>
  <c r="EA48" i="11"/>
  <c r="EB48" i="11"/>
  <c r="EC48" i="11"/>
  <c r="ED48" i="11"/>
  <c r="EE48" i="11"/>
  <c r="EF48" i="11"/>
  <c r="EG48" i="11"/>
  <c r="EH48" i="11"/>
  <c r="EI48" i="11"/>
  <c r="EJ48" i="11"/>
  <c r="EK48" i="11"/>
  <c r="EL48" i="11"/>
  <c r="EM48" i="11"/>
  <c r="EN48" i="11"/>
  <c r="EO48" i="11"/>
  <c r="EP48" i="11"/>
  <c r="EQ48" i="11"/>
  <c r="ER48" i="11"/>
  <c r="ES48" i="11"/>
  <c r="ET48" i="11"/>
  <c r="EU48" i="11"/>
  <c r="EV48" i="11"/>
  <c r="EW48" i="11"/>
  <c r="EX48" i="11"/>
  <c r="EY48" i="11"/>
  <c r="EZ48" i="11"/>
  <c r="FA48" i="11"/>
  <c r="FB48" i="11"/>
  <c r="FC48" i="11"/>
  <c r="FD48" i="11"/>
  <c r="FE48" i="11"/>
  <c r="FF48" i="11"/>
  <c r="FG48" i="11"/>
  <c r="FH48" i="11"/>
  <c r="FI48" i="11"/>
  <c r="FJ48" i="11"/>
  <c r="FK48" i="11"/>
  <c r="FL48" i="11"/>
  <c r="FM48" i="11"/>
  <c r="FN48" i="11"/>
  <c r="FO48" i="11"/>
  <c r="FP48" i="11"/>
  <c r="FQ48" i="11"/>
  <c r="FR48" i="11"/>
  <c r="FS48" i="11"/>
  <c r="FT48" i="11"/>
  <c r="FU48" i="11"/>
  <c r="FV48" i="11"/>
  <c r="FW48" i="11"/>
  <c r="FX48" i="11"/>
  <c r="FY48" i="11"/>
  <c r="FZ48" i="11"/>
  <c r="GA48" i="11"/>
  <c r="GB48" i="11"/>
  <c r="GC48" i="11"/>
  <c r="GD48" i="11"/>
  <c r="GE48" i="11"/>
  <c r="GF48" i="11"/>
  <c r="GG48" i="11"/>
  <c r="GH48" i="11"/>
  <c r="GI48" i="11"/>
  <c r="GJ48" i="11"/>
  <c r="GK48" i="11"/>
  <c r="GL48" i="11"/>
  <c r="GM48" i="11"/>
  <c r="GN48" i="11"/>
  <c r="GO48" i="11"/>
  <c r="GP48" i="11"/>
  <c r="GQ48" i="11"/>
  <c r="GR48" i="11"/>
  <c r="GS48" i="11"/>
  <c r="GT48" i="11"/>
  <c r="GU48" i="11"/>
  <c r="GV48" i="11"/>
  <c r="GW48" i="11"/>
  <c r="GX48" i="11"/>
  <c r="GY48" i="11"/>
  <c r="GZ48" i="11"/>
  <c r="HA48" i="11"/>
  <c r="HB48" i="11"/>
  <c r="HC48" i="11"/>
  <c r="HD48" i="11"/>
  <c r="HE48" i="11"/>
  <c r="HF48" i="11"/>
  <c r="HG48" i="11"/>
  <c r="HH48" i="11"/>
  <c r="HI48" i="11"/>
  <c r="HJ48" i="11"/>
  <c r="HK48" i="11"/>
  <c r="HL48" i="11"/>
  <c r="HM48" i="11"/>
  <c r="HN48" i="11"/>
  <c r="HO48" i="11"/>
  <c r="HP48" i="11"/>
  <c r="HQ48" i="11"/>
  <c r="HR48" i="11"/>
  <c r="HS48" i="11"/>
  <c r="HT48" i="11"/>
  <c r="HU48" i="11"/>
  <c r="HV48" i="11"/>
  <c r="HW48" i="11"/>
  <c r="HX48" i="11"/>
  <c r="HY48" i="11"/>
  <c r="HZ48" i="11"/>
  <c r="IA48" i="11"/>
  <c r="IB48" i="11"/>
  <c r="IC48" i="11"/>
  <c r="ID48" i="11"/>
  <c r="IE48" i="11"/>
  <c r="IF48" i="11"/>
  <c r="IG48" i="11"/>
  <c r="IH48" i="11"/>
  <c r="II48" i="11"/>
  <c r="IJ48" i="11"/>
  <c r="IK48" i="11"/>
  <c r="IL48" i="11"/>
  <c r="IM48" i="11"/>
  <c r="IN48" i="11"/>
  <c r="IO48" i="11"/>
  <c r="IP48" i="11"/>
  <c r="IQ48" i="11"/>
  <c r="IR48" i="11"/>
  <c r="IS48" i="11"/>
  <c r="IT48" i="11"/>
  <c r="IU48" i="11"/>
  <c r="IV48" i="11"/>
  <c r="A47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X47" i="11"/>
  <c r="AY47" i="11"/>
  <c r="AZ47" i="11"/>
  <c r="BA47" i="11"/>
  <c r="BB47" i="11"/>
  <c r="BC47" i="11"/>
  <c r="BD47" i="11"/>
  <c r="BE47" i="11"/>
  <c r="BF47" i="11"/>
  <c r="BG47" i="11"/>
  <c r="BH47" i="11"/>
  <c r="BI47" i="11"/>
  <c r="BJ47" i="11"/>
  <c r="BK47" i="11"/>
  <c r="BL47" i="11"/>
  <c r="BM47" i="11"/>
  <c r="BN47" i="11"/>
  <c r="BO47" i="11"/>
  <c r="BP47" i="11"/>
  <c r="BQ47" i="11"/>
  <c r="BR47" i="11"/>
  <c r="BS47" i="11"/>
  <c r="BT47" i="11"/>
  <c r="BU47" i="11"/>
  <c r="BV47" i="11"/>
  <c r="BW47" i="11"/>
  <c r="BX47" i="11"/>
  <c r="BY47" i="11"/>
  <c r="BZ47" i="11"/>
  <c r="CA47" i="11"/>
  <c r="CB47" i="11"/>
  <c r="CC47" i="11"/>
  <c r="CD47" i="11"/>
  <c r="CE47" i="11"/>
  <c r="CF47" i="11"/>
  <c r="CG47" i="11"/>
  <c r="CH47" i="11"/>
  <c r="CI47" i="11"/>
  <c r="CJ47" i="11"/>
  <c r="CK47" i="11"/>
  <c r="CL47" i="11"/>
  <c r="CM47" i="11"/>
  <c r="CN47" i="11"/>
  <c r="CO47" i="11"/>
  <c r="CP47" i="11"/>
  <c r="CQ47" i="11"/>
  <c r="CR47" i="11"/>
  <c r="CS47" i="11"/>
  <c r="CT47" i="11"/>
  <c r="CU47" i="11"/>
  <c r="CV47" i="11"/>
  <c r="CW47" i="11"/>
  <c r="CX47" i="11"/>
  <c r="CY47" i="11"/>
  <c r="CZ47" i="11"/>
  <c r="DA47" i="11"/>
  <c r="DB47" i="11"/>
  <c r="DC47" i="11"/>
  <c r="DD47" i="11"/>
  <c r="DE47" i="11"/>
  <c r="DF47" i="11"/>
  <c r="DG47" i="11"/>
  <c r="DH47" i="11"/>
  <c r="DI47" i="11"/>
  <c r="DJ47" i="11"/>
  <c r="DK47" i="11"/>
  <c r="DL47" i="11"/>
  <c r="DM47" i="11"/>
  <c r="DN47" i="11"/>
  <c r="DO47" i="11"/>
  <c r="DP47" i="11"/>
  <c r="DQ47" i="11"/>
  <c r="DR47" i="11"/>
  <c r="DS47" i="11"/>
  <c r="DT47" i="11"/>
  <c r="DU47" i="11"/>
  <c r="DV47" i="11"/>
  <c r="DW47" i="11"/>
  <c r="DX47" i="11"/>
  <c r="DY47" i="11"/>
  <c r="DZ47" i="11"/>
  <c r="EA47" i="11"/>
  <c r="EB47" i="11"/>
  <c r="EC47" i="11"/>
  <c r="ED47" i="11"/>
  <c r="EE47" i="11"/>
  <c r="EF47" i="11"/>
  <c r="EG47" i="11"/>
  <c r="EH47" i="11"/>
  <c r="EI47" i="11"/>
  <c r="EJ47" i="11"/>
  <c r="EK47" i="11"/>
  <c r="EL47" i="11"/>
  <c r="EM47" i="11"/>
  <c r="EN47" i="11"/>
  <c r="EO47" i="11"/>
  <c r="EP47" i="11"/>
  <c r="EQ47" i="11"/>
  <c r="ER47" i="11"/>
  <c r="ES47" i="11"/>
  <c r="ET47" i="11"/>
  <c r="EU47" i="11"/>
  <c r="EV47" i="11"/>
  <c r="EW47" i="11"/>
  <c r="EX47" i="11"/>
  <c r="EY47" i="11"/>
  <c r="EZ47" i="11"/>
  <c r="FA47" i="11"/>
  <c r="FB47" i="11"/>
  <c r="FC47" i="11"/>
  <c r="FD47" i="11"/>
  <c r="FE47" i="11"/>
  <c r="FF47" i="11"/>
  <c r="FG47" i="11"/>
  <c r="FH47" i="11"/>
  <c r="FI47" i="11"/>
  <c r="FJ47" i="11"/>
  <c r="FK47" i="11"/>
  <c r="FL47" i="11"/>
  <c r="FM47" i="11"/>
  <c r="FN47" i="11"/>
  <c r="FO47" i="11"/>
  <c r="FP47" i="11"/>
  <c r="FQ47" i="11"/>
  <c r="FR47" i="11"/>
  <c r="FS47" i="11"/>
  <c r="FT47" i="11"/>
  <c r="FU47" i="11"/>
  <c r="FV47" i="11"/>
  <c r="FW47" i="11"/>
  <c r="FX47" i="11"/>
  <c r="FY47" i="11"/>
  <c r="FZ47" i="11"/>
  <c r="GA47" i="11"/>
  <c r="GB47" i="11"/>
  <c r="GC47" i="11"/>
  <c r="GD47" i="11"/>
  <c r="GE47" i="11"/>
  <c r="GF47" i="11"/>
  <c r="GG47" i="11"/>
  <c r="GH47" i="11"/>
  <c r="GI47" i="11"/>
  <c r="GJ47" i="11"/>
  <c r="GK47" i="11"/>
  <c r="GL47" i="11"/>
  <c r="GM47" i="11"/>
  <c r="GN47" i="11"/>
  <c r="GO47" i="11"/>
  <c r="GP47" i="11"/>
  <c r="GQ47" i="11"/>
  <c r="GR47" i="11"/>
  <c r="GS47" i="11"/>
  <c r="GT47" i="11"/>
  <c r="GU47" i="11"/>
  <c r="GV47" i="11"/>
  <c r="GW47" i="11"/>
  <c r="GX47" i="11"/>
  <c r="GY47" i="11"/>
  <c r="GZ47" i="11"/>
  <c r="HA47" i="11"/>
  <c r="HB47" i="11"/>
  <c r="HC47" i="11"/>
  <c r="HD47" i="11"/>
  <c r="HE47" i="11"/>
  <c r="HF47" i="11"/>
  <c r="HG47" i="11"/>
  <c r="HH47" i="11"/>
  <c r="HI47" i="11"/>
  <c r="HJ47" i="11"/>
  <c r="HK47" i="11"/>
  <c r="HL47" i="11"/>
  <c r="HM47" i="11"/>
  <c r="HN47" i="11"/>
  <c r="HO47" i="11"/>
  <c r="HP47" i="11"/>
  <c r="HQ47" i="11"/>
  <c r="HR47" i="11"/>
  <c r="HS47" i="11"/>
  <c r="HT47" i="11"/>
  <c r="HU47" i="11"/>
  <c r="HV47" i="11"/>
  <c r="HW47" i="11"/>
  <c r="HX47" i="11"/>
  <c r="HY47" i="11"/>
  <c r="HZ47" i="11"/>
  <c r="IA47" i="11"/>
  <c r="IB47" i="11"/>
  <c r="IC47" i="11"/>
  <c r="ID47" i="11"/>
  <c r="IE47" i="11"/>
  <c r="IF47" i="11"/>
  <c r="IG47" i="11"/>
  <c r="IH47" i="11"/>
  <c r="II47" i="11"/>
  <c r="IJ47" i="11"/>
  <c r="IK47" i="11"/>
  <c r="IL47" i="11"/>
  <c r="IM47" i="11"/>
  <c r="IN47" i="11"/>
  <c r="IO47" i="11"/>
  <c r="IP47" i="11"/>
  <c r="IQ47" i="11"/>
  <c r="IR47" i="11"/>
  <c r="IS47" i="11"/>
  <c r="IT47" i="11"/>
  <c r="IU47" i="11"/>
  <c r="IV47" i="11"/>
  <c r="A46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AI46" i="11"/>
  <c r="AJ46" i="11"/>
  <c r="AK46" i="11"/>
  <c r="AL46" i="11"/>
  <c r="AM46" i="11"/>
  <c r="AN46" i="11"/>
  <c r="AO46" i="11"/>
  <c r="AP46" i="11"/>
  <c r="AQ46" i="11"/>
  <c r="AR46" i="11"/>
  <c r="AS46" i="11"/>
  <c r="AT46" i="11"/>
  <c r="AU46" i="11"/>
  <c r="AV46" i="11"/>
  <c r="AW46" i="11"/>
  <c r="AX46" i="11"/>
  <c r="AY46" i="11"/>
  <c r="AZ46" i="11"/>
  <c r="BA46" i="11"/>
  <c r="BB46" i="11"/>
  <c r="BC46" i="11"/>
  <c r="BD46" i="11"/>
  <c r="BE46" i="11"/>
  <c r="BF46" i="11"/>
  <c r="BG46" i="11"/>
  <c r="BH46" i="11"/>
  <c r="BI46" i="11"/>
  <c r="BJ46" i="11"/>
  <c r="BK46" i="11"/>
  <c r="BL46" i="11"/>
  <c r="BM46" i="11"/>
  <c r="BN46" i="11"/>
  <c r="BO46" i="11"/>
  <c r="BP46" i="11"/>
  <c r="BQ46" i="11"/>
  <c r="BR46" i="11"/>
  <c r="BS46" i="11"/>
  <c r="BT46" i="11"/>
  <c r="BU46" i="11"/>
  <c r="BV46" i="11"/>
  <c r="BW46" i="11"/>
  <c r="BX46" i="11"/>
  <c r="BY46" i="11"/>
  <c r="BZ46" i="11"/>
  <c r="CA46" i="11"/>
  <c r="CB46" i="11"/>
  <c r="CC46" i="11"/>
  <c r="CD46" i="11"/>
  <c r="CE46" i="11"/>
  <c r="CF46" i="11"/>
  <c r="CG46" i="11"/>
  <c r="CH46" i="11"/>
  <c r="CI46" i="11"/>
  <c r="CJ46" i="11"/>
  <c r="CK46" i="11"/>
  <c r="CL46" i="11"/>
  <c r="CM46" i="11"/>
  <c r="CN46" i="11"/>
  <c r="CO46" i="11"/>
  <c r="CP46" i="11"/>
  <c r="CQ46" i="11"/>
  <c r="CR46" i="11"/>
  <c r="CS46" i="11"/>
  <c r="CT46" i="11"/>
  <c r="CU46" i="11"/>
  <c r="CV46" i="11"/>
  <c r="CW46" i="11"/>
  <c r="CX46" i="11"/>
  <c r="CY46" i="11"/>
  <c r="CZ46" i="11"/>
  <c r="DA46" i="11"/>
  <c r="DB46" i="11"/>
  <c r="DC46" i="11"/>
  <c r="DD46" i="11"/>
  <c r="DE46" i="11"/>
  <c r="DF46" i="11"/>
  <c r="DG46" i="11"/>
  <c r="DH46" i="11"/>
  <c r="DI46" i="11"/>
  <c r="DJ46" i="11"/>
  <c r="DK46" i="11"/>
  <c r="DL46" i="11"/>
  <c r="DM46" i="11"/>
  <c r="DN46" i="11"/>
  <c r="DO46" i="11"/>
  <c r="DP46" i="11"/>
  <c r="DQ46" i="11"/>
  <c r="DR46" i="11"/>
  <c r="DS46" i="11"/>
  <c r="DT46" i="11"/>
  <c r="DU46" i="11"/>
  <c r="DV46" i="11"/>
  <c r="DW46" i="11"/>
  <c r="DX46" i="11"/>
  <c r="DY46" i="11"/>
  <c r="DZ46" i="11"/>
  <c r="EA46" i="11"/>
  <c r="EB46" i="11"/>
  <c r="EC46" i="11"/>
  <c r="ED46" i="11"/>
  <c r="EE46" i="11"/>
  <c r="EF46" i="11"/>
  <c r="EG46" i="11"/>
  <c r="EH46" i="11"/>
  <c r="EI46" i="11"/>
  <c r="EJ46" i="11"/>
  <c r="EK46" i="11"/>
  <c r="EL46" i="11"/>
  <c r="EM46" i="11"/>
  <c r="EN46" i="11"/>
  <c r="EO46" i="11"/>
  <c r="EP46" i="11"/>
  <c r="EQ46" i="11"/>
  <c r="ER46" i="11"/>
  <c r="ES46" i="11"/>
  <c r="ET46" i="11"/>
  <c r="EU46" i="11"/>
  <c r="EV46" i="11"/>
  <c r="EW46" i="11"/>
  <c r="EX46" i="11"/>
  <c r="EY46" i="11"/>
  <c r="EZ46" i="11"/>
  <c r="FA46" i="11"/>
  <c r="FB46" i="11"/>
  <c r="FC46" i="11"/>
  <c r="FD46" i="11"/>
  <c r="FE46" i="11"/>
  <c r="FF46" i="11"/>
  <c r="FG46" i="11"/>
  <c r="FH46" i="11"/>
  <c r="FI46" i="11"/>
  <c r="FJ46" i="11"/>
  <c r="FK46" i="11"/>
  <c r="FL46" i="11"/>
  <c r="FM46" i="11"/>
  <c r="FN46" i="11"/>
  <c r="FO46" i="11"/>
  <c r="FP46" i="11"/>
  <c r="FQ46" i="11"/>
  <c r="FR46" i="11"/>
  <c r="FS46" i="11"/>
  <c r="FT46" i="11"/>
  <c r="FU46" i="11"/>
  <c r="FV46" i="11"/>
  <c r="FW46" i="11"/>
  <c r="FX46" i="11"/>
  <c r="FY46" i="11"/>
  <c r="FZ46" i="11"/>
  <c r="GA46" i="11"/>
  <c r="GB46" i="11"/>
  <c r="GC46" i="11"/>
  <c r="GD46" i="11"/>
  <c r="GE46" i="11"/>
  <c r="GF46" i="11"/>
  <c r="GG46" i="11"/>
  <c r="GH46" i="11"/>
  <c r="GI46" i="11"/>
  <c r="GJ46" i="11"/>
  <c r="GK46" i="11"/>
  <c r="GL46" i="11"/>
  <c r="GM46" i="11"/>
  <c r="GN46" i="11"/>
  <c r="GO46" i="11"/>
  <c r="GP46" i="11"/>
  <c r="GQ46" i="11"/>
  <c r="GR46" i="11"/>
  <c r="GS46" i="11"/>
  <c r="GT46" i="11"/>
  <c r="GU46" i="11"/>
  <c r="GV46" i="11"/>
  <c r="GW46" i="11"/>
  <c r="GX46" i="11"/>
  <c r="GY46" i="11"/>
  <c r="GZ46" i="11"/>
  <c r="HA46" i="11"/>
  <c r="HB46" i="11"/>
  <c r="HC46" i="11"/>
  <c r="HD46" i="11"/>
  <c r="HE46" i="11"/>
  <c r="HF46" i="11"/>
  <c r="HG46" i="11"/>
  <c r="HH46" i="11"/>
  <c r="HI46" i="11"/>
  <c r="HJ46" i="11"/>
  <c r="HK46" i="11"/>
  <c r="HL46" i="11"/>
  <c r="HM46" i="11"/>
  <c r="HN46" i="11"/>
  <c r="HO46" i="11"/>
  <c r="HP46" i="11"/>
  <c r="HQ46" i="11"/>
  <c r="HR46" i="11"/>
  <c r="HS46" i="11"/>
  <c r="HT46" i="11"/>
  <c r="HU46" i="11"/>
  <c r="HV46" i="11"/>
  <c r="HW46" i="11"/>
  <c r="HX46" i="11"/>
  <c r="HY46" i="11"/>
  <c r="HZ46" i="11"/>
  <c r="IA46" i="11"/>
  <c r="IB46" i="11"/>
  <c r="IC46" i="11"/>
  <c r="ID46" i="11"/>
  <c r="IE46" i="11"/>
  <c r="IF46" i="11"/>
  <c r="IG46" i="11"/>
  <c r="IH46" i="11"/>
  <c r="II46" i="11"/>
  <c r="IJ46" i="11"/>
  <c r="IK46" i="11"/>
  <c r="IL46" i="11"/>
  <c r="IM46" i="11"/>
  <c r="IN46" i="11"/>
  <c r="IO46" i="11"/>
  <c r="IP46" i="11"/>
  <c r="IQ46" i="11"/>
  <c r="IR46" i="11"/>
  <c r="IS46" i="11"/>
  <c r="IT46" i="11"/>
  <c r="IU46" i="11"/>
  <c r="IV46" i="11"/>
  <c r="A45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C45" i="11"/>
  <c r="AD45" i="11"/>
  <c r="AE45" i="11"/>
  <c r="AF45" i="11"/>
  <c r="AG45" i="11"/>
  <c r="AH45" i="11"/>
  <c r="AI45" i="11"/>
  <c r="AJ45" i="11"/>
  <c r="AK45" i="11"/>
  <c r="AL45" i="11"/>
  <c r="AM45" i="11"/>
  <c r="AN45" i="11"/>
  <c r="AO45" i="11"/>
  <c r="AP45" i="11"/>
  <c r="AQ45" i="11"/>
  <c r="AR45" i="11"/>
  <c r="AS45" i="11"/>
  <c r="AT45" i="11"/>
  <c r="AU45" i="11"/>
  <c r="AV45" i="11"/>
  <c r="AW45" i="11"/>
  <c r="AX45" i="11"/>
  <c r="AY45" i="11"/>
  <c r="AZ45" i="11"/>
  <c r="BA45" i="11"/>
  <c r="BB45" i="11"/>
  <c r="BC45" i="11"/>
  <c r="BD45" i="11"/>
  <c r="BE45" i="11"/>
  <c r="BF45" i="11"/>
  <c r="BG45" i="11"/>
  <c r="BH45" i="11"/>
  <c r="BI45" i="11"/>
  <c r="BJ45" i="11"/>
  <c r="BK45" i="11"/>
  <c r="BL45" i="11"/>
  <c r="BM45" i="11"/>
  <c r="BN45" i="11"/>
  <c r="BO45" i="11"/>
  <c r="BP45" i="11"/>
  <c r="BQ45" i="11"/>
  <c r="BR45" i="11"/>
  <c r="BS45" i="11"/>
  <c r="BT45" i="11"/>
  <c r="BU45" i="11"/>
  <c r="BV45" i="11"/>
  <c r="BW45" i="11"/>
  <c r="BX45" i="11"/>
  <c r="BY45" i="11"/>
  <c r="BZ45" i="11"/>
  <c r="CA45" i="11"/>
  <c r="CB45" i="11"/>
  <c r="CC45" i="11"/>
  <c r="CD45" i="11"/>
  <c r="CE45" i="11"/>
  <c r="CF45" i="11"/>
  <c r="CG45" i="11"/>
  <c r="CH45" i="11"/>
  <c r="CI45" i="11"/>
  <c r="CJ45" i="11"/>
  <c r="CK45" i="11"/>
  <c r="CL45" i="11"/>
  <c r="CM45" i="11"/>
  <c r="CN45" i="11"/>
  <c r="CO45" i="11"/>
  <c r="CP45" i="11"/>
  <c r="CQ45" i="11"/>
  <c r="CR45" i="11"/>
  <c r="CS45" i="11"/>
  <c r="CT45" i="11"/>
  <c r="CU45" i="11"/>
  <c r="CV45" i="11"/>
  <c r="CW45" i="11"/>
  <c r="CX45" i="11"/>
  <c r="CY45" i="11"/>
  <c r="CZ45" i="11"/>
  <c r="DA45" i="11"/>
  <c r="DB45" i="11"/>
  <c r="DC45" i="11"/>
  <c r="DD45" i="11"/>
  <c r="DE45" i="11"/>
  <c r="DF45" i="11"/>
  <c r="DG45" i="11"/>
  <c r="DH45" i="11"/>
  <c r="DI45" i="11"/>
  <c r="DJ45" i="11"/>
  <c r="DK45" i="11"/>
  <c r="DL45" i="11"/>
  <c r="DM45" i="11"/>
  <c r="DN45" i="11"/>
  <c r="DO45" i="11"/>
  <c r="DP45" i="11"/>
  <c r="DQ45" i="11"/>
  <c r="DR45" i="11"/>
  <c r="DS45" i="11"/>
  <c r="DT45" i="11"/>
  <c r="DU45" i="11"/>
  <c r="DV45" i="11"/>
  <c r="DW45" i="11"/>
  <c r="DX45" i="11"/>
  <c r="DY45" i="11"/>
  <c r="DZ45" i="11"/>
  <c r="EA45" i="11"/>
  <c r="EB45" i="11"/>
  <c r="EC45" i="11"/>
  <c r="ED45" i="11"/>
  <c r="EE45" i="11"/>
  <c r="EF45" i="11"/>
  <c r="EG45" i="11"/>
  <c r="EH45" i="11"/>
  <c r="EI45" i="11"/>
  <c r="EJ45" i="11"/>
  <c r="EK45" i="11"/>
  <c r="EL45" i="11"/>
  <c r="EM45" i="11"/>
  <c r="EN45" i="11"/>
  <c r="EO45" i="11"/>
  <c r="EP45" i="11"/>
  <c r="EQ45" i="11"/>
  <c r="ER45" i="11"/>
  <c r="ES45" i="11"/>
  <c r="ET45" i="11"/>
  <c r="EU45" i="11"/>
  <c r="EV45" i="11"/>
  <c r="EW45" i="11"/>
  <c r="EX45" i="11"/>
  <c r="EY45" i="11"/>
  <c r="EZ45" i="11"/>
  <c r="FA45" i="11"/>
  <c r="FB45" i="11"/>
  <c r="FC45" i="11"/>
  <c r="FD45" i="11"/>
  <c r="FE45" i="11"/>
  <c r="FF45" i="11"/>
  <c r="FG45" i="11"/>
  <c r="FH45" i="11"/>
  <c r="FI45" i="11"/>
  <c r="FJ45" i="11"/>
  <c r="FK45" i="11"/>
  <c r="FL45" i="11"/>
  <c r="FM45" i="11"/>
  <c r="FN45" i="11"/>
  <c r="FO45" i="11"/>
  <c r="FP45" i="11"/>
  <c r="FQ45" i="11"/>
  <c r="FR45" i="11"/>
  <c r="FS45" i="11"/>
  <c r="FT45" i="11"/>
  <c r="FU45" i="11"/>
  <c r="FV45" i="11"/>
  <c r="FW45" i="11"/>
  <c r="FX45" i="11"/>
  <c r="FY45" i="11"/>
  <c r="FZ45" i="11"/>
  <c r="GA45" i="11"/>
  <c r="GB45" i="11"/>
  <c r="GC45" i="11"/>
  <c r="GD45" i="11"/>
  <c r="GE45" i="11"/>
  <c r="GF45" i="11"/>
  <c r="GG45" i="11"/>
  <c r="GH45" i="11"/>
  <c r="GI45" i="11"/>
  <c r="GJ45" i="11"/>
  <c r="GK45" i="11"/>
  <c r="GL45" i="11"/>
  <c r="GM45" i="11"/>
  <c r="GN45" i="11"/>
  <c r="GO45" i="11"/>
  <c r="GP45" i="11"/>
  <c r="GQ45" i="11"/>
  <c r="GR45" i="11"/>
  <c r="GS45" i="11"/>
  <c r="GT45" i="11"/>
  <c r="GU45" i="11"/>
  <c r="GV45" i="11"/>
  <c r="GW45" i="11"/>
  <c r="GX45" i="11"/>
  <c r="GY45" i="11"/>
  <c r="GZ45" i="11"/>
  <c r="HA45" i="11"/>
  <c r="HB45" i="11"/>
  <c r="HC45" i="11"/>
  <c r="HD45" i="11"/>
  <c r="HE45" i="11"/>
  <c r="HF45" i="11"/>
  <c r="HG45" i="11"/>
  <c r="HH45" i="11"/>
  <c r="HI45" i="11"/>
  <c r="HJ45" i="11"/>
  <c r="HK45" i="11"/>
  <c r="HL45" i="11"/>
  <c r="HM45" i="11"/>
  <c r="HN45" i="11"/>
  <c r="HO45" i="11"/>
  <c r="HP45" i="11"/>
  <c r="HQ45" i="11"/>
  <c r="HR45" i="11"/>
  <c r="HS45" i="11"/>
  <c r="HT45" i="11"/>
  <c r="HU45" i="11"/>
  <c r="HV45" i="11"/>
  <c r="HW45" i="11"/>
  <c r="HX45" i="11"/>
  <c r="HY45" i="11"/>
  <c r="HZ45" i="11"/>
  <c r="IA45" i="11"/>
  <c r="IB45" i="11"/>
  <c r="IC45" i="11"/>
  <c r="ID45" i="11"/>
  <c r="IE45" i="11"/>
  <c r="IF45" i="11"/>
  <c r="IG45" i="11"/>
  <c r="IH45" i="11"/>
  <c r="II45" i="11"/>
  <c r="IJ45" i="11"/>
  <c r="IK45" i="11"/>
  <c r="IL45" i="11"/>
  <c r="IM45" i="11"/>
  <c r="IN45" i="11"/>
  <c r="IO45" i="11"/>
  <c r="IP45" i="11"/>
  <c r="IQ45" i="11"/>
  <c r="IR45" i="11"/>
  <c r="IS45" i="11"/>
  <c r="IT45" i="11"/>
  <c r="IU45" i="11"/>
  <c r="IV45" i="11"/>
  <c r="A44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AM44" i="11"/>
  <c r="AN44" i="11"/>
  <c r="AO44" i="11"/>
  <c r="AP44" i="11"/>
  <c r="AQ44" i="11"/>
  <c r="AR44" i="11"/>
  <c r="AS44" i="11"/>
  <c r="AT44" i="11"/>
  <c r="AU44" i="11"/>
  <c r="AV44" i="11"/>
  <c r="AW44" i="11"/>
  <c r="AX44" i="11"/>
  <c r="AY44" i="11"/>
  <c r="AZ44" i="11"/>
  <c r="BA44" i="11"/>
  <c r="BB44" i="11"/>
  <c r="BC44" i="11"/>
  <c r="BD44" i="11"/>
  <c r="BE44" i="11"/>
  <c r="BF44" i="11"/>
  <c r="BG44" i="11"/>
  <c r="BH44" i="11"/>
  <c r="BI44" i="11"/>
  <c r="BJ44" i="11"/>
  <c r="BK44" i="11"/>
  <c r="BL44" i="11"/>
  <c r="BM44" i="11"/>
  <c r="BN44" i="11"/>
  <c r="BO44" i="11"/>
  <c r="BP44" i="11"/>
  <c r="BQ44" i="11"/>
  <c r="BR44" i="11"/>
  <c r="BS44" i="11"/>
  <c r="BT44" i="11"/>
  <c r="BU44" i="11"/>
  <c r="BV44" i="11"/>
  <c r="BW44" i="11"/>
  <c r="BX44" i="11"/>
  <c r="BY44" i="11"/>
  <c r="BZ44" i="11"/>
  <c r="CA44" i="11"/>
  <c r="CB44" i="11"/>
  <c r="CC44" i="11"/>
  <c r="CD44" i="11"/>
  <c r="CE44" i="11"/>
  <c r="CF44" i="11"/>
  <c r="CG44" i="11"/>
  <c r="CH44" i="11"/>
  <c r="CI44" i="11"/>
  <c r="CJ44" i="11"/>
  <c r="CK44" i="11"/>
  <c r="CL44" i="11"/>
  <c r="CM44" i="11"/>
  <c r="CN44" i="11"/>
  <c r="CO44" i="11"/>
  <c r="CP44" i="11"/>
  <c r="CQ44" i="11"/>
  <c r="CR44" i="11"/>
  <c r="CS44" i="11"/>
  <c r="CT44" i="11"/>
  <c r="CU44" i="11"/>
  <c r="CV44" i="11"/>
  <c r="CW44" i="11"/>
  <c r="CX44" i="11"/>
  <c r="CY44" i="11"/>
  <c r="CZ44" i="11"/>
  <c r="DA44" i="11"/>
  <c r="DB44" i="11"/>
  <c r="DC44" i="11"/>
  <c r="DD44" i="11"/>
  <c r="DE44" i="11"/>
  <c r="DF44" i="11"/>
  <c r="DG44" i="11"/>
  <c r="DH44" i="11"/>
  <c r="DI44" i="11"/>
  <c r="DJ44" i="11"/>
  <c r="DK44" i="11"/>
  <c r="DL44" i="11"/>
  <c r="DM44" i="11"/>
  <c r="DN44" i="11"/>
  <c r="DO44" i="11"/>
  <c r="DP44" i="11"/>
  <c r="DQ44" i="11"/>
  <c r="DR44" i="11"/>
  <c r="DS44" i="11"/>
  <c r="DT44" i="11"/>
  <c r="DU44" i="11"/>
  <c r="DV44" i="11"/>
  <c r="DW44" i="11"/>
  <c r="DX44" i="11"/>
  <c r="DY44" i="11"/>
  <c r="DZ44" i="11"/>
  <c r="EA44" i="11"/>
  <c r="EB44" i="11"/>
  <c r="EC44" i="11"/>
  <c r="ED44" i="11"/>
  <c r="EE44" i="11"/>
  <c r="EF44" i="11"/>
  <c r="EG44" i="11"/>
  <c r="EH44" i="11"/>
  <c r="EI44" i="11"/>
  <c r="EJ44" i="11"/>
  <c r="EK44" i="11"/>
  <c r="EL44" i="11"/>
  <c r="EM44" i="11"/>
  <c r="EN44" i="11"/>
  <c r="EO44" i="11"/>
  <c r="EP44" i="11"/>
  <c r="EQ44" i="11"/>
  <c r="ER44" i="11"/>
  <c r="ES44" i="11"/>
  <c r="ET44" i="11"/>
  <c r="EU44" i="11"/>
  <c r="EV44" i="11"/>
  <c r="EW44" i="11"/>
  <c r="EX44" i="11"/>
  <c r="EY44" i="11"/>
  <c r="EZ44" i="11"/>
  <c r="FA44" i="11"/>
  <c r="FB44" i="11"/>
  <c r="FC44" i="11"/>
  <c r="FD44" i="11"/>
  <c r="FE44" i="11"/>
  <c r="FF44" i="11"/>
  <c r="FG44" i="11"/>
  <c r="FH44" i="11"/>
  <c r="FI44" i="11"/>
  <c r="FJ44" i="11"/>
  <c r="FK44" i="11"/>
  <c r="FL44" i="11"/>
  <c r="FM44" i="11"/>
  <c r="FN44" i="11"/>
  <c r="FO44" i="11"/>
  <c r="FP44" i="11"/>
  <c r="FQ44" i="11"/>
  <c r="FR44" i="11"/>
  <c r="FS44" i="11"/>
  <c r="FT44" i="11"/>
  <c r="FU44" i="11"/>
  <c r="FV44" i="11"/>
  <c r="FW44" i="11"/>
  <c r="FX44" i="11"/>
  <c r="FY44" i="11"/>
  <c r="FZ44" i="11"/>
  <c r="GA44" i="11"/>
  <c r="GB44" i="11"/>
  <c r="GC44" i="11"/>
  <c r="GD44" i="11"/>
  <c r="GE44" i="11"/>
  <c r="GF44" i="11"/>
  <c r="GG44" i="11"/>
  <c r="GH44" i="11"/>
  <c r="GI44" i="11"/>
  <c r="GJ44" i="11"/>
  <c r="GK44" i="11"/>
  <c r="GL44" i="11"/>
  <c r="GM44" i="11"/>
  <c r="GN44" i="11"/>
  <c r="GO44" i="11"/>
  <c r="GP44" i="11"/>
  <c r="GQ44" i="11"/>
  <c r="GR44" i="11"/>
  <c r="GS44" i="11"/>
  <c r="GT44" i="11"/>
  <c r="GU44" i="11"/>
  <c r="GV44" i="11"/>
  <c r="GW44" i="11"/>
  <c r="GX44" i="11"/>
  <c r="GY44" i="11"/>
  <c r="GZ44" i="11"/>
  <c r="HA44" i="11"/>
  <c r="HB44" i="11"/>
  <c r="HC44" i="11"/>
  <c r="HD44" i="11"/>
  <c r="HE44" i="11"/>
  <c r="HF44" i="11"/>
  <c r="HG44" i="11"/>
  <c r="HH44" i="11"/>
  <c r="HI44" i="11"/>
  <c r="HJ44" i="11"/>
  <c r="HK44" i="11"/>
  <c r="HL44" i="11"/>
  <c r="HM44" i="11"/>
  <c r="HN44" i="11"/>
  <c r="HO44" i="11"/>
  <c r="HP44" i="11"/>
  <c r="HQ44" i="11"/>
  <c r="HR44" i="11"/>
  <c r="HS44" i="11"/>
  <c r="HT44" i="11"/>
  <c r="HU44" i="11"/>
  <c r="HV44" i="11"/>
  <c r="HW44" i="11"/>
  <c r="HX44" i="11"/>
  <c r="HY44" i="11"/>
  <c r="HZ44" i="11"/>
  <c r="IA44" i="11"/>
  <c r="IB44" i="11"/>
  <c r="IC44" i="11"/>
  <c r="ID44" i="11"/>
  <c r="IE44" i="11"/>
  <c r="IF44" i="11"/>
  <c r="IG44" i="11"/>
  <c r="IH44" i="11"/>
  <c r="II44" i="11"/>
  <c r="IJ44" i="11"/>
  <c r="IK44" i="11"/>
  <c r="IL44" i="11"/>
  <c r="IM44" i="11"/>
  <c r="IN44" i="11"/>
  <c r="IO44" i="11"/>
  <c r="IP44" i="11"/>
  <c r="IQ44" i="11"/>
  <c r="IR44" i="11"/>
  <c r="IS44" i="11"/>
  <c r="IT44" i="11"/>
  <c r="IU44" i="11"/>
  <c r="IV44" i="11"/>
  <c r="A43" i="11"/>
  <c r="B43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A43" i="11"/>
  <c r="AB43" i="11"/>
  <c r="AC43" i="11"/>
  <c r="AD43" i="11"/>
  <c r="AE43" i="11"/>
  <c r="AF43" i="11"/>
  <c r="AG43" i="11"/>
  <c r="AH43" i="11"/>
  <c r="AI43" i="11"/>
  <c r="AJ43" i="11"/>
  <c r="AK43" i="11"/>
  <c r="AL43" i="11"/>
  <c r="AM43" i="11"/>
  <c r="AN43" i="11"/>
  <c r="AO43" i="11"/>
  <c r="AP43" i="11"/>
  <c r="AQ43" i="11"/>
  <c r="AR43" i="11"/>
  <c r="AS43" i="11"/>
  <c r="AT43" i="11"/>
  <c r="AU43" i="11"/>
  <c r="AV43" i="11"/>
  <c r="AW43" i="11"/>
  <c r="AX43" i="11"/>
  <c r="AY43" i="11"/>
  <c r="AZ43" i="11"/>
  <c r="BA43" i="11"/>
  <c r="BB43" i="11"/>
  <c r="BC43" i="11"/>
  <c r="BD43" i="11"/>
  <c r="BE43" i="11"/>
  <c r="BF43" i="11"/>
  <c r="BG43" i="11"/>
  <c r="BH43" i="11"/>
  <c r="BI43" i="11"/>
  <c r="BJ43" i="11"/>
  <c r="BK43" i="11"/>
  <c r="BL43" i="11"/>
  <c r="BM43" i="11"/>
  <c r="BN43" i="11"/>
  <c r="BO43" i="11"/>
  <c r="BP43" i="11"/>
  <c r="BQ43" i="11"/>
  <c r="BR43" i="11"/>
  <c r="BS43" i="11"/>
  <c r="BT43" i="11"/>
  <c r="BU43" i="11"/>
  <c r="BV43" i="11"/>
  <c r="BW43" i="11"/>
  <c r="BX43" i="11"/>
  <c r="BY43" i="11"/>
  <c r="BZ43" i="11"/>
  <c r="CA43" i="11"/>
  <c r="CB43" i="11"/>
  <c r="CC43" i="11"/>
  <c r="CD43" i="11"/>
  <c r="CE43" i="11"/>
  <c r="CF43" i="11"/>
  <c r="CG43" i="11"/>
  <c r="CH43" i="11"/>
  <c r="CI43" i="11"/>
  <c r="CJ43" i="11"/>
  <c r="CK43" i="11"/>
  <c r="CL43" i="11"/>
  <c r="CM43" i="11"/>
  <c r="CN43" i="11"/>
  <c r="CO43" i="11"/>
  <c r="CP43" i="11"/>
  <c r="CQ43" i="11"/>
  <c r="CR43" i="11"/>
  <c r="CS43" i="11"/>
  <c r="CT43" i="11"/>
  <c r="CU43" i="11"/>
  <c r="CV43" i="11"/>
  <c r="CW43" i="11"/>
  <c r="CX43" i="11"/>
  <c r="CY43" i="11"/>
  <c r="CZ43" i="11"/>
  <c r="DA43" i="11"/>
  <c r="DB43" i="11"/>
  <c r="DC43" i="11"/>
  <c r="DD43" i="11"/>
  <c r="DE43" i="11"/>
  <c r="DF43" i="11"/>
  <c r="DG43" i="11"/>
  <c r="DH43" i="11"/>
  <c r="DI43" i="11"/>
  <c r="DJ43" i="11"/>
  <c r="DK43" i="11"/>
  <c r="DL43" i="11"/>
  <c r="DM43" i="11"/>
  <c r="DN43" i="11"/>
  <c r="DO43" i="11"/>
  <c r="DP43" i="11"/>
  <c r="DQ43" i="11"/>
  <c r="DR43" i="11"/>
  <c r="DS43" i="11"/>
  <c r="DT43" i="11"/>
  <c r="DU43" i="11"/>
  <c r="DV43" i="11"/>
  <c r="DW43" i="11"/>
  <c r="DX43" i="11"/>
  <c r="DY43" i="11"/>
  <c r="DZ43" i="11"/>
  <c r="EA43" i="11"/>
  <c r="EB43" i="11"/>
  <c r="EC43" i="11"/>
  <c r="ED43" i="11"/>
  <c r="EE43" i="11"/>
  <c r="EF43" i="11"/>
  <c r="EG43" i="11"/>
  <c r="EH43" i="11"/>
  <c r="EI43" i="11"/>
  <c r="EJ43" i="11"/>
  <c r="EK43" i="11"/>
  <c r="EL43" i="11"/>
  <c r="EM43" i="11"/>
  <c r="EN43" i="11"/>
  <c r="EO43" i="11"/>
  <c r="EP43" i="11"/>
  <c r="EQ43" i="11"/>
  <c r="ER43" i="11"/>
  <c r="ES43" i="11"/>
  <c r="ET43" i="11"/>
  <c r="EU43" i="11"/>
  <c r="EV43" i="11"/>
  <c r="EW43" i="11"/>
  <c r="EX43" i="11"/>
  <c r="EY43" i="11"/>
  <c r="EZ43" i="11"/>
  <c r="FA43" i="11"/>
  <c r="FB43" i="11"/>
  <c r="FC43" i="11"/>
  <c r="FD43" i="11"/>
  <c r="FE43" i="11"/>
  <c r="FF43" i="11"/>
  <c r="FG43" i="11"/>
  <c r="FH43" i="11"/>
  <c r="FI43" i="11"/>
  <c r="FJ43" i="11"/>
  <c r="FK43" i="11"/>
  <c r="FL43" i="11"/>
  <c r="FM43" i="11"/>
  <c r="FN43" i="11"/>
  <c r="FO43" i="11"/>
  <c r="FP43" i="11"/>
  <c r="FQ43" i="11"/>
  <c r="FR43" i="11"/>
  <c r="FS43" i="11"/>
  <c r="FT43" i="11"/>
  <c r="FU43" i="11"/>
  <c r="FV43" i="11"/>
  <c r="FW43" i="11"/>
  <c r="FX43" i="11"/>
  <c r="FY43" i="11"/>
  <c r="FZ43" i="11"/>
  <c r="GA43" i="11"/>
  <c r="GB43" i="11"/>
  <c r="GC43" i="11"/>
  <c r="GD43" i="11"/>
  <c r="GE43" i="11"/>
  <c r="GF43" i="11"/>
  <c r="GG43" i="11"/>
  <c r="GH43" i="11"/>
  <c r="GI43" i="11"/>
  <c r="GJ43" i="11"/>
  <c r="GK43" i="11"/>
  <c r="GL43" i="11"/>
  <c r="GM43" i="11"/>
  <c r="GN43" i="11"/>
  <c r="GO43" i="11"/>
  <c r="GP43" i="11"/>
  <c r="GQ43" i="11"/>
  <c r="GR43" i="11"/>
  <c r="GS43" i="11"/>
  <c r="GT43" i="11"/>
  <c r="GU43" i="11"/>
  <c r="GV43" i="11"/>
  <c r="GW43" i="11"/>
  <c r="GX43" i="11"/>
  <c r="GY43" i="11"/>
  <c r="GZ43" i="11"/>
  <c r="HA43" i="11"/>
  <c r="HB43" i="11"/>
  <c r="HC43" i="11"/>
  <c r="HD43" i="11"/>
  <c r="HE43" i="11"/>
  <c r="HF43" i="11"/>
  <c r="HG43" i="11"/>
  <c r="HH43" i="11"/>
  <c r="HI43" i="11"/>
  <c r="HJ43" i="11"/>
  <c r="HK43" i="11"/>
  <c r="HL43" i="11"/>
  <c r="HM43" i="11"/>
  <c r="HN43" i="11"/>
  <c r="HO43" i="11"/>
  <c r="HP43" i="11"/>
  <c r="HQ43" i="11"/>
  <c r="HR43" i="11"/>
  <c r="HS43" i="11"/>
  <c r="HT43" i="11"/>
  <c r="HU43" i="11"/>
  <c r="HV43" i="11"/>
  <c r="HW43" i="11"/>
  <c r="HX43" i="11"/>
  <c r="HY43" i="11"/>
  <c r="HZ43" i="11"/>
  <c r="IA43" i="11"/>
  <c r="IB43" i="11"/>
  <c r="IC43" i="11"/>
  <c r="ID43" i="11"/>
  <c r="IE43" i="11"/>
  <c r="IF43" i="11"/>
  <c r="IG43" i="11"/>
  <c r="IH43" i="11"/>
  <c r="II43" i="11"/>
  <c r="IJ43" i="11"/>
  <c r="IK43" i="11"/>
  <c r="IL43" i="11"/>
  <c r="IM43" i="11"/>
  <c r="IN43" i="11"/>
  <c r="IO43" i="11"/>
  <c r="IP43" i="11"/>
  <c r="IQ43" i="11"/>
  <c r="IR43" i="11"/>
  <c r="IS43" i="11"/>
  <c r="IT43" i="11"/>
  <c r="IU43" i="11"/>
  <c r="IV43" i="11"/>
  <c r="A42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AF42" i="11"/>
  <c r="AG42" i="11"/>
  <c r="AH42" i="11"/>
  <c r="AI42" i="11"/>
  <c r="AJ42" i="11"/>
  <c r="AK42" i="11"/>
  <c r="AL42" i="11"/>
  <c r="AM42" i="11"/>
  <c r="AN42" i="11"/>
  <c r="AO42" i="11"/>
  <c r="AP42" i="11"/>
  <c r="AQ42" i="11"/>
  <c r="AR42" i="11"/>
  <c r="AS42" i="11"/>
  <c r="AT42" i="11"/>
  <c r="AU42" i="11"/>
  <c r="AV42" i="11"/>
  <c r="AW42" i="11"/>
  <c r="AX42" i="11"/>
  <c r="AY42" i="11"/>
  <c r="AZ42" i="11"/>
  <c r="BA42" i="11"/>
  <c r="BB42" i="11"/>
  <c r="BC42" i="11"/>
  <c r="BD42" i="11"/>
  <c r="BE42" i="11"/>
  <c r="BF42" i="11"/>
  <c r="BG42" i="11"/>
  <c r="BH42" i="11"/>
  <c r="BI42" i="11"/>
  <c r="BJ42" i="11"/>
  <c r="BK42" i="11"/>
  <c r="BL42" i="11"/>
  <c r="BM42" i="11"/>
  <c r="BN42" i="11"/>
  <c r="BO42" i="11"/>
  <c r="BP42" i="11"/>
  <c r="BQ42" i="11"/>
  <c r="BR42" i="11"/>
  <c r="BS42" i="11"/>
  <c r="BT42" i="11"/>
  <c r="BU42" i="11"/>
  <c r="BV42" i="11"/>
  <c r="BW42" i="11"/>
  <c r="BX42" i="11"/>
  <c r="BY42" i="11"/>
  <c r="BZ42" i="11"/>
  <c r="CA42" i="11"/>
  <c r="CB42" i="11"/>
  <c r="CC42" i="11"/>
  <c r="CD42" i="11"/>
  <c r="CE42" i="11"/>
  <c r="CF42" i="11"/>
  <c r="CG42" i="11"/>
  <c r="CH42" i="11"/>
  <c r="CI42" i="11"/>
  <c r="CJ42" i="11"/>
  <c r="CK42" i="11"/>
  <c r="CL42" i="11"/>
  <c r="CM42" i="11"/>
  <c r="CN42" i="11"/>
  <c r="CO42" i="11"/>
  <c r="CP42" i="11"/>
  <c r="CQ42" i="11"/>
  <c r="CR42" i="11"/>
  <c r="CS42" i="11"/>
  <c r="CT42" i="11"/>
  <c r="CU42" i="11"/>
  <c r="CV42" i="11"/>
  <c r="CW42" i="11"/>
  <c r="CX42" i="11"/>
  <c r="CY42" i="11"/>
  <c r="CZ42" i="11"/>
  <c r="DA42" i="11"/>
  <c r="DB42" i="11"/>
  <c r="DC42" i="11"/>
  <c r="DD42" i="11"/>
  <c r="DE42" i="11"/>
  <c r="DF42" i="11"/>
  <c r="DG42" i="11"/>
  <c r="DH42" i="11"/>
  <c r="DI42" i="11"/>
  <c r="DJ42" i="11"/>
  <c r="DK42" i="11"/>
  <c r="DL42" i="11"/>
  <c r="DM42" i="11"/>
  <c r="DN42" i="11"/>
  <c r="DO42" i="11"/>
  <c r="DP42" i="11"/>
  <c r="DQ42" i="11"/>
  <c r="DR42" i="11"/>
  <c r="DS42" i="11"/>
  <c r="DT42" i="11"/>
  <c r="DU42" i="11"/>
  <c r="DV42" i="11"/>
  <c r="DW42" i="11"/>
  <c r="DX42" i="11"/>
  <c r="DY42" i="11"/>
  <c r="DZ42" i="11"/>
  <c r="EA42" i="11"/>
  <c r="EB42" i="11"/>
  <c r="EC42" i="11"/>
  <c r="ED42" i="11"/>
  <c r="EE42" i="11"/>
  <c r="EF42" i="11"/>
  <c r="EG42" i="11"/>
  <c r="EH42" i="11"/>
  <c r="EI42" i="11"/>
  <c r="EJ42" i="11"/>
  <c r="EK42" i="11"/>
  <c r="EL42" i="11"/>
  <c r="EM42" i="11"/>
  <c r="EN42" i="11"/>
  <c r="EO42" i="11"/>
  <c r="EP42" i="11"/>
  <c r="EQ42" i="11"/>
  <c r="ER42" i="11"/>
  <c r="ES42" i="11"/>
  <c r="ET42" i="11"/>
  <c r="EU42" i="11"/>
  <c r="EV42" i="11"/>
  <c r="EW42" i="11"/>
  <c r="EX42" i="11"/>
  <c r="EY42" i="11"/>
  <c r="EZ42" i="11"/>
  <c r="FA42" i="11"/>
  <c r="FB42" i="11"/>
  <c r="FC42" i="11"/>
  <c r="FD42" i="11"/>
  <c r="FE42" i="11"/>
  <c r="FF42" i="11"/>
  <c r="FG42" i="11"/>
  <c r="FH42" i="11"/>
  <c r="FI42" i="11"/>
  <c r="FJ42" i="11"/>
  <c r="FK42" i="11"/>
  <c r="FL42" i="11"/>
  <c r="FM42" i="11"/>
  <c r="FN42" i="11"/>
  <c r="FO42" i="11"/>
  <c r="FP42" i="11"/>
  <c r="FQ42" i="11"/>
  <c r="FR42" i="11"/>
  <c r="FS42" i="11"/>
  <c r="FT42" i="11"/>
  <c r="FU42" i="11"/>
  <c r="FV42" i="11"/>
  <c r="FW42" i="11"/>
  <c r="FX42" i="11"/>
  <c r="FY42" i="11"/>
  <c r="FZ42" i="11"/>
  <c r="GA42" i="11"/>
  <c r="GB42" i="11"/>
  <c r="GC42" i="11"/>
  <c r="GD42" i="11"/>
  <c r="GE42" i="11"/>
  <c r="GF42" i="11"/>
  <c r="GG42" i="11"/>
  <c r="GH42" i="11"/>
  <c r="GI42" i="11"/>
  <c r="GJ42" i="11"/>
  <c r="GK42" i="11"/>
  <c r="GL42" i="11"/>
  <c r="GM42" i="11"/>
  <c r="GN42" i="11"/>
  <c r="GO42" i="11"/>
  <c r="GP42" i="11"/>
  <c r="GQ42" i="11"/>
  <c r="GR42" i="11"/>
  <c r="GS42" i="11"/>
  <c r="GT42" i="11"/>
  <c r="GU42" i="11"/>
  <c r="GV42" i="11"/>
  <c r="GW42" i="11"/>
  <c r="GX42" i="11"/>
  <c r="GY42" i="11"/>
  <c r="GZ42" i="11"/>
  <c r="HA42" i="11"/>
  <c r="HB42" i="11"/>
  <c r="HC42" i="11"/>
  <c r="HD42" i="11"/>
  <c r="HE42" i="11"/>
  <c r="HF42" i="11"/>
  <c r="HG42" i="11"/>
  <c r="HH42" i="11"/>
  <c r="HI42" i="11"/>
  <c r="HJ42" i="11"/>
  <c r="HK42" i="11"/>
  <c r="HL42" i="11"/>
  <c r="HM42" i="11"/>
  <c r="HN42" i="11"/>
  <c r="HO42" i="11"/>
  <c r="HP42" i="11"/>
  <c r="HQ42" i="11"/>
  <c r="HR42" i="11"/>
  <c r="HS42" i="11"/>
  <c r="HT42" i="11"/>
  <c r="HU42" i="11"/>
  <c r="HV42" i="11"/>
  <c r="HW42" i="11"/>
  <c r="HX42" i="11"/>
  <c r="HY42" i="11"/>
  <c r="HZ42" i="11"/>
  <c r="IA42" i="11"/>
  <c r="IB42" i="11"/>
  <c r="IC42" i="11"/>
  <c r="ID42" i="11"/>
  <c r="IE42" i="11"/>
  <c r="IF42" i="11"/>
  <c r="IG42" i="11"/>
  <c r="IH42" i="11"/>
  <c r="II42" i="11"/>
  <c r="IJ42" i="11"/>
  <c r="IK42" i="11"/>
  <c r="IL42" i="11"/>
  <c r="IM42" i="11"/>
  <c r="IN42" i="11"/>
  <c r="IO42" i="11"/>
  <c r="IP42" i="11"/>
  <c r="IQ42" i="11"/>
  <c r="IR42" i="11"/>
  <c r="IS42" i="11"/>
  <c r="IT42" i="11"/>
  <c r="IU42" i="11"/>
  <c r="IV42" i="11"/>
  <c r="A41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AR41" i="11"/>
  <c r="AS41" i="11"/>
  <c r="AT41" i="11"/>
  <c r="AU41" i="11"/>
  <c r="AV41" i="11"/>
  <c r="AW41" i="11"/>
  <c r="AX41" i="11"/>
  <c r="AY41" i="11"/>
  <c r="AZ41" i="11"/>
  <c r="BA41" i="11"/>
  <c r="BB41" i="11"/>
  <c r="BC41" i="11"/>
  <c r="BD41" i="11"/>
  <c r="BE41" i="11"/>
  <c r="BF41" i="11"/>
  <c r="BG41" i="11"/>
  <c r="BH41" i="11"/>
  <c r="BI41" i="11"/>
  <c r="BJ41" i="11"/>
  <c r="BK41" i="11"/>
  <c r="BL41" i="11"/>
  <c r="BM41" i="11"/>
  <c r="BN41" i="11"/>
  <c r="BO41" i="11"/>
  <c r="BP41" i="11"/>
  <c r="BQ41" i="11"/>
  <c r="BR41" i="11"/>
  <c r="BS41" i="11"/>
  <c r="BT41" i="11"/>
  <c r="BU41" i="11"/>
  <c r="BV41" i="11"/>
  <c r="BW41" i="11"/>
  <c r="BX41" i="11"/>
  <c r="BY41" i="11"/>
  <c r="BZ41" i="11"/>
  <c r="CA41" i="11"/>
  <c r="CB41" i="11"/>
  <c r="CC41" i="11"/>
  <c r="CD41" i="11"/>
  <c r="CE41" i="11"/>
  <c r="CF41" i="11"/>
  <c r="CG41" i="11"/>
  <c r="CH41" i="11"/>
  <c r="CI41" i="11"/>
  <c r="CJ41" i="11"/>
  <c r="CK41" i="11"/>
  <c r="CL41" i="11"/>
  <c r="CM41" i="11"/>
  <c r="CN41" i="11"/>
  <c r="CO41" i="11"/>
  <c r="CP41" i="11"/>
  <c r="CQ41" i="11"/>
  <c r="CR41" i="11"/>
  <c r="CS41" i="11"/>
  <c r="CT41" i="11"/>
  <c r="CU41" i="11"/>
  <c r="CV41" i="11"/>
  <c r="CW41" i="11"/>
  <c r="CX41" i="11"/>
  <c r="CY41" i="11"/>
  <c r="CZ41" i="11"/>
  <c r="DA41" i="11"/>
  <c r="DB41" i="11"/>
  <c r="DC41" i="11"/>
  <c r="DD41" i="11"/>
  <c r="DE41" i="11"/>
  <c r="DF41" i="11"/>
  <c r="DG41" i="11"/>
  <c r="DH41" i="11"/>
  <c r="DI41" i="11"/>
  <c r="DJ41" i="11"/>
  <c r="DK41" i="11"/>
  <c r="DL41" i="11"/>
  <c r="DM41" i="11"/>
  <c r="DN41" i="11"/>
  <c r="DO41" i="11"/>
  <c r="DP41" i="11"/>
  <c r="DQ41" i="11"/>
  <c r="DR41" i="11"/>
  <c r="DS41" i="11"/>
  <c r="DT41" i="11"/>
  <c r="DU41" i="11"/>
  <c r="DV41" i="11"/>
  <c r="DW41" i="11"/>
  <c r="DX41" i="11"/>
  <c r="DY41" i="11"/>
  <c r="DZ41" i="11"/>
  <c r="EA41" i="11"/>
  <c r="EB41" i="11"/>
  <c r="EC41" i="11"/>
  <c r="ED41" i="11"/>
  <c r="EE41" i="11"/>
  <c r="EF41" i="11"/>
  <c r="EG41" i="11"/>
  <c r="EH41" i="11"/>
  <c r="EI41" i="11"/>
  <c r="EJ41" i="11"/>
  <c r="EK41" i="11"/>
  <c r="EL41" i="11"/>
  <c r="EM41" i="11"/>
  <c r="EN41" i="11"/>
  <c r="EO41" i="11"/>
  <c r="EP41" i="11"/>
  <c r="EQ41" i="11"/>
  <c r="ER41" i="11"/>
  <c r="ES41" i="11"/>
  <c r="ET41" i="11"/>
  <c r="EU41" i="11"/>
  <c r="EV41" i="11"/>
  <c r="EW41" i="11"/>
  <c r="EX41" i="11"/>
  <c r="EY41" i="11"/>
  <c r="EZ41" i="11"/>
  <c r="FA41" i="11"/>
  <c r="FB41" i="11"/>
  <c r="FC41" i="11"/>
  <c r="FD41" i="11"/>
  <c r="FE41" i="11"/>
  <c r="FF41" i="11"/>
  <c r="FG41" i="11"/>
  <c r="FH41" i="11"/>
  <c r="FI41" i="11"/>
  <c r="FJ41" i="11"/>
  <c r="FK41" i="11"/>
  <c r="FL41" i="11"/>
  <c r="FM41" i="11"/>
  <c r="FN41" i="11"/>
  <c r="FO41" i="11"/>
  <c r="FP41" i="11"/>
  <c r="FQ41" i="11"/>
  <c r="FR41" i="11"/>
  <c r="FS41" i="11"/>
  <c r="FT41" i="11"/>
  <c r="FU41" i="11"/>
  <c r="FV41" i="11"/>
  <c r="FW41" i="11"/>
  <c r="FX41" i="11"/>
  <c r="FY41" i="11"/>
  <c r="FZ41" i="11"/>
  <c r="GA41" i="11"/>
  <c r="GB41" i="11"/>
  <c r="GC41" i="11"/>
  <c r="GD41" i="11"/>
  <c r="GE41" i="11"/>
  <c r="GF41" i="11"/>
  <c r="GG41" i="11"/>
  <c r="GH41" i="11"/>
  <c r="GI41" i="11"/>
  <c r="GJ41" i="11"/>
  <c r="GK41" i="11"/>
  <c r="GL41" i="11"/>
  <c r="GM41" i="11"/>
  <c r="GN41" i="11"/>
  <c r="GO41" i="11"/>
  <c r="GP41" i="11"/>
  <c r="GQ41" i="11"/>
  <c r="GR41" i="11"/>
  <c r="GS41" i="11"/>
  <c r="GT41" i="11"/>
  <c r="GU41" i="11"/>
  <c r="GV41" i="11"/>
  <c r="GW41" i="11"/>
  <c r="GX41" i="11"/>
  <c r="GY41" i="11"/>
  <c r="GZ41" i="11"/>
  <c r="HA41" i="11"/>
  <c r="HB41" i="11"/>
  <c r="HC41" i="11"/>
  <c r="HD41" i="11"/>
  <c r="HE41" i="11"/>
  <c r="HF41" i="11"/>
  <c r="HG41" i="11"/>
  <c r="HH41" i="11"/>
  <c r="HI41" i="11"/>
  <c r="HJ41" i="11"/>
  <c r="HK41" i="11"/>
  <c r="HL41" i="11"/>
  <c r="HM41" i="11"/>
  <c r="HN41" i="11"/>
  <c r="HO41" i="11"/>
  <c r="HP41" i="11"/>
  <c r="HQ41" i="11"/>
  <c r="HR41" i="11"/>
  <c r="HS41" i="11"/>
  <c r="HT41" i="11"/>
  <c r="HU41" i="11"/>
  <c r="HV41" i="11"/>
  <c r="HW41" i="11"/>
  <c r="HX41" i="11"/>
  <c r="HY41" i="11"/>
  <c r="HZ41" i="11"/>
  <c r="IA41" i="11"/>
  <c r="IB41" i="11"/>
  <c r="IC41" i="11"/>
  <c r="ID41" i="11"/>
  <c r="IE41" i="11"/>
  <c r="IF41" i="11"/>
  <c r="IG41" i="11"/>
  <c r="IH41" i="11"/>
  <c r="II41" i="11"/>
  <c r="IJ41" i="11"/>
  <c r="IK41" i="11"/>
  <c r="IL41" i="11"/>
  <c r="IM41" i="11"/>
  <c r="IN41" i="11"/>
  <c r="IO41" i="11"/>
  <c r="IP41" i="11"/>
  <c r="IQ41" i="11"/>
  <c r="IR41" i="11"/>
  <c r="IS41" i="11"/>
  <c r="IT41" i="11"/>
  <c r="IU41" i="11"/>
  <c r="IV41" i="11"/>
  <c r="A40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AL40" i="11"/>
  <c r="AM40" i="11"/>
  <c r="AN40" i="11"/>
  <c r="AO40" i="11"/>
  <c r="AP40" i="11"/>
  <c r="AQ40" i="11"/>
  <c r="AR40" i="11"/>
  <c r="AS40" i="11"/>
  <c r="AT40" i="11"/>
  <c r="AU40" i="11"/>
  <c r="AV40" i="11"/>
  <c r="AW40" i="11"/>
  <c r="AX40" i="11"/>
  <c r="AY40" i="11"/>
  <c r="AZ40" i="11"/>
  <c r="BA40" i="11"/>
  <c r="BB40" i="11"/>
  <c r="BC40" i="11"/>
  <c r="BD40" i="11"/>
  <c r="BE40" i="11"/>
  <c r="BF40" i="11"/>
  <c r="BG40" i="11"/>
  <c r="BH40" i="11"/>
  <c r="BI40" i="11"/>
  <c r="BJ40" i="11"/>
  <c r="BK40" i="11"/>
  <c r="BL40" i="11"/>
  <c r="BM40" i="11"/>
  <c r="BN40" i="11"/>
  <c r="BO40" i="11"/>
  <c r="BP40" i="11"/>
  <c r="BQ40" i="11"/>
  <c r="BR40" i="11"/>
  <c r="BS40" i="11"/>
  <c r="BT40" i="11"/>
  <c r="BU40" i="11"/>
  <c r="BV40" i="11"/>
  <c r="BW40" i="11"/>
  <c r="BX40" i="11"/>
  <c r="BY40" i="11"/>
  <c r="BZ40" i="11"/>
  <c r="CA40" i="11"/>
  <c r="CB40" i="11"/>
  <c r="CC40" i="11"/>
  <c r="CD40" i="11"/>
  <c r="CE40" i="11"/>
  <c r="CF40" i="11"/>
  <c r="CG40" i="11"/>
  <c r="CH40" i="11"/>
  <c r="CI40" i="11"/>
  <c r="CJ40" i="11"/>
  <c r="CK40" i="11"/>
  <c r="CL40" i="11"/>
  <c r="CM40" i="11"/>
  <c r="CN40" i="11"/>
  <c r="CO40" i="11"/>
  <c r="CP40" i="11"/>
  <c r="CQ40" i="11"/>
  <c r="CR40" i="11"/>
  <c r="CS40" i="11"/>
  <c r="CT40" i="11"/>
  <c r="CU40" i="11"/>
  <c r="CV40" i="11"/>
  <c r="CW40" i="11"/>
  <c r="CX40" i="11"/>
  <c r="CY40" i="11"/>
  <c r="CZ40" i="11"/>
  <c r="DA40" i="11"/>
  <c r="DB40" i="11"/>
  <c r="DC40" i="11"/>
  <c r="DD40" i="11"/>
  <c r="DE40" i="11"/>
  <c r="DF40" i="11"/>
  <c r="DG40" i="11"/>
  <c r="DH40" i="11"/>
  <c r="DI40" i="11"/>
  <c r="DJ40" i="11"/>
  <c r="DK40" i="11"/>
  <c r="DL40" i="11"/>
  <c r="DM40" i="11"/>
  <c r="DN40" i="11"/>
  <c r="DO40" i="11"/>
  <c r="DP40" i="11"/>
  <c r="DQ40" i="11"/>
  <c r="DR40" i="11"/>
  <c r="DS40" i="11"/>
  <c r="DT40" i="11"/>
  <c r="DU40" i="11"/>
  <c r="DV40" i="11"/>
  <c r="DW40" i="11"/>
  <c r="DX40" i="11"/>
  <c r="DY40" i="11"/>
  <c r="DZ40" i="11"/>
  <c r="EA40" i="11"/>
  <c r="EB40" i="11"/>
  <c r="EC40" i="11"/>
  <c r="ED40" i="11"/>
  <c r="EE40" i="11"/>
  <c r="EF40" i="11"/>
  <c r="EG40" i="11"/>
  <c r="EH40" i="11"/>
  <c r="EI40" i="11"/>
  <c r="EJ40" i="11"/>
  <c r="EK40" i="11"/>
  <c r="EL40" i="11"/>
  <c r="EM40" i="11"/>
  <c r="EN40" i="11"/>
  <c r="EO40" i="11"/>
  <c r="EP40" i="11"/>
  <c r="EQ40" i="11"/>
  <c r="ER40" i="11"/>
  <c r="ES40" i="11"/>
  <c r="ET40" i="11"/>
  <c r="EU40" i="11"/>
  <c r="EV40" i="11"/>
  <c r="EW40" i="11"/>
  <c r="EX40" i="11"/>
  <c r="EY40" i="11"/>
  <c r="EZ40" i="11"/>
  <c r="FA40" i="11"/>
  <c r="FB40" i="11"/>
  <c r="FC40" i="11"/>
  <c r="FD40" i="11"/>
  <c r="FE40" i="11"/>
  <c r="FF40" i="11"/>
  <c r="FG40" i="11"/>
  <c r="FH40" i="11"/>
  <c r="FI40" i="11"/>
  <c r="FJ40" i="11"/>
  <c r="FK40" i="11"/>
  <c r="FL40" i="11"/>
  <c r="FM40" i="11"/>
  <c r="FN40" i="11"/>
  <c r="FO40" i="11"/>
  <c r="FP40" i="11"/>
  <c r="FQ40" i="11"/>
  <c r="FR40" i="11"/>
  <c r="FS40" i="11"/>
  <c r="FT40" i="11"/>
  <c r="FU40" i="11"/>
  <c r="FV40" i="11"/>
  <c r="FW40" i="11"/>
  <c r="FX40" i="11"/>
  <c r="FY40" i="11"/>
  <c r="FZ40" i="11"/>
  <c r="GA40" i="11"/>
  <c r="GB40" i="11"/>
  <c r="GC40" i="11"/>
  <c r="GD40" i="11"/>
  <c r="GE40" i="11"/>
  <c r="GF40" i="11"/>
  <c r="GG40" i="11"/>
  <c r="GH40" i="11"/>
  <c r="GI40" i="11"/>
  <c r="GJ40" i="11"/>
  <c r="GK40" i="11"/>
  <c r="GL40" i="11"/>
  <c r="GM40" i="11"/>
  <c r="GN40" i="11"/>
  <c r="GO40" i="11"/>
  <c r="GP40" i="11"/>
  <c r="GQ40" i="11"/>
  <c r="GR40" i="11"/>
  <c r="GS40" i="11"/>
  <c r="GT40" i="11"/>
  <c r="GU40" i="11"/>
  <c r="GV40" i="11"/>
  <c r="GW40" i="11"/>
  <c r="GX40" i="11"/>
  <c r="GY40" i="11"/>
  <c r="GZ40" i="11"/>
  <c r="HA40" i="11"/>
  <c r="HB40" i="11"/>
  <c r="HC40" i="11"/>
  <c r="HD40" i="11"/>
  <c r="HE40" i="11"/>
  <c r="HF40" i="11"/>
  <c r="HG40" i="11"/>
  <c r="HH40" i="11"/>
  <c r="HI40" i="11"/>
  <c r="HJ40" i="11"/>
  <c r="HK40" i="11"/>
  <c r="HL40" i="11"/>
  <c r="HM40" i="11"/>
  <c r="HN40" i="11"/>
  <c r="HO40" i="11"/>
  <c r="HP40" i="11"/>
  <c r="HQ40" i="11"/>
  <c r="HR40" i="11"/>
  <c r="HS40" i="11"/>
  <c r="HT40" i="11"/>
  <c r="HU40" i="11"/>
  <c r="HV40" i="11"/>
  <c r="HW40" i="11"/>
  <c r="HX40" i="11"/>
  <c r="HY40" i="11"/>
  <c r="HZ40" i="11"/>
  <c r="IA40" i="11"/>
  <c r="IB40" i="11"/>
  <c r="IC40" i="11"/>
  <c r="ID40" i="11"/>
  <c r="IE40" i="11"/>
  <c r="IF40" i="11"/>
  <c r="IG40" i="11"/>
  <c r="IH40" i="11"/>
  <c r="II40" i="11"/>
  <c r="IJ40" i="11"/>
  <c r="IK40" i="11"/>
  <c r="IL40" i="11"/>
  <c r="IM40" i="11"/>
  <c r="IN40" i="11"/>
  <c r="IO40" i="11"/>
  <c r="IP40" i="11"/>
  <c r="IQ40" i="11"/>
  <c r="IR40" i="11"/>
  <c r="IS40" i="11"/>
  <c r="IT40" i="11"/>
  <c r="IU40" i="11"/>
  <c r="IV40" i="11"/>
  <c r="A39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AL39" i="11"/>
  <c r="AM39" i="11"/>
  <c r="AN39" i="11"/>
  <c r="AO39" i="11"/>
  <c r="AP39" i="11"/>
  <c r="AQ39" i="11"/>
  <c r="AR39" i="11"/>
  <c r="AS39" i="11"/>
  <c r="AT39" i="11"/>
  <c r="AU39" i="11"/>
  <c r="AV39" i="11"/>
  <c r="AW39" i="11"/>
  <c r="AX39" i="11"/>
  <c r="AY39" i="11"/>
  <c r="AZ39" i="11"/>
  <c r="BA39" i="11"/>
  <c r="BB39" i="11"/>
  <c r="BC39" i="11"/>
  <c r="BD39" i="11"/>
  <c r="BE39" i="11"/>
  <c r="BF39" i="11"/>
  <c r="BG39" i="11"/>
  <c r="BH39" i="11"/>
  <c r="BI39" i="11"/>
  <c r="BJ39" i="11"/>
  <c r="BK39" i="11"/>
  <c r="BL39" i="11"/>
  <c r="BM39" i="11"/>
  <c r="BN39" i="11"/>
  <c r="BO39" i="11"/>
  <c r="BP39" i="11"/>
  <c r="BQ39" i="11"/>
  <c r="BR39" i="11"/>
  <c r="BS39" i="11"/>
  <c r="BT39" i="11"/>
  <c r="BU39" i="11"/>
  <c r="BV39" i="11"/>
  <c r="BW39" i="11"/>
  <c r="BX39" i="11"/>
  <c r="BY39" i="11"/>
  <c r="BZ39" i="11"/>
  <c r="CA39" i="11"/>
  <c r="CB39" i="11"/>
  <c r="CC39" i="11"/>
  <c r="CD39" i="11"/>
  <c r="CE39" i="11"/>
  <c r="CF39" i="11"/>
  <c r="CG39" i="11"/>
  <c r="CH39" i="11"/>
  <c r="CI39" i="11"/>
  <c r="CJ39" i="11"/>
  <c r="CK39" i="11"/>
  <c r="CL39" i="11"/>
  <c r="CM39" i="11"/>
  <c r="CN39" i="11"/>
  <c r="CO39" i="11"/>
  <c r="CP39" i="11"/>
  <c r="CQ39" i="11"/>
  <c r="CR39" i="11"/>
  <c r="CS39" i="11"/>
  <c r="CT39" i="11"/>
  <c r="CU39" i="11"/>
  <c r="CV39" i="11"/>
  <c r="CW39" i="11"/>
  <c r="CX39" i="11"/>
  <c r="CY39" i="11"/>
  <c r="CZ39" i="11"/>
  <c r="DA39" i="11"/>
  <c r="DB39" i="11"/>
  <c r="DC39" i="11"/>
  <c r="DD39" i="11"/>
  <c r="DE39" i="11"/>
  <c r="DF39" i="11"/>
  <c r="DG39" i="11"/>
  <c r="DH39" i="11"/>
  <c r="DI39" i="11"/>
  <c r="DJ39" i="11"/>
  <c r="DK39" i="11"/>
  <c r="DL39" i="11"/>
  <c r="DM39" i="11"/>
  <c r="DN39" i="11"/>
  <c r="DO39" i="11"/>
  <c r="DP39" i="11"/>
  <c r="DQ39" i="11"/>
  <c r="DR39" i="11"/>
  <c r="DS39" i="11"/>
  <c r="DT39" i="11"/>
  <c r="DU39" i="11"/>
  <c r="DV39" i="11"/>
  <c r="DW39" i="11"/>
  <c r="DX39" i="11"/>
  <c r="DY39" i="11"/>
  <c r="DZ39" i="11"/>
  <c r="EA39" i="11"/>
  <c r="EB39" i="11"/>
  <c r="EC39" i="11"/>
  <c r="ED39" i="11"/>
  <c r="EE39" i="11"/>
  <c r="EF39" i="11"/>
  <c r="EG39" i="11"/>
  <c r="EH39" i="11"/>
  <c r="EI39" i="11"/>
  <c r="EJ39" i="11"/>
  <c r="EK39" i="11"/>
  <c r="EL39" i="11"/>
  <c r="EM39" i="11"/>
  <c r="EN39" i="11"/>
  <c r="EO39" i="11"/>
  <c r="EP39" i="11"/>
  <c r="EQ39" i="11"/>
  <c r="ER39" i="11"/>
  <c r="ES39" i="11"/>
  <c r="ET39" i="11"/>
  <c r="EU39" i="11"/>
  <c r="EV39" i="11"/>
  <c r="EW39" i="11"/>
  <c r="EX39" i="11"/>
  <c r="EY39" i="11"/>
  <c r="EZ39" i="11"/>
  <c r="FA39" i="11"/>
  <c r="FB39" i="11"/>
  <c r="FC39" i="11"/>
  <c r="FD39" i="11"/>
  <c r="FE39" i="11"/>
  <c r="FF39" i="11"/>
  <c r="FG39" i="11"/>
  <c r="FH39" i="11"/>
  <c r="FI39" i="11"/>
  <c r="FJ39" i="11"/>
  <c r="FK39" i="11"/>
  <c r="FL39" i="11"/>
  <c r="FM39" i="11"/>
  <c r="FN39" i="11"/>
  <c r="FO39" i="11"/>
  <c r="FP39" i="11"/>
  <c r="FQ39" i="11"/>
  <c r="FR39" i="11"/>
  <c r="FS39" i="11"/>
  <c r="FT39" i="11"/>
  <c r="FU39" i="11"/>
  <c r="FV39" i="11"/>
  <c r="FW39" i="11"/>
  <c r="FX39" i="11"/>
  <c r="FY39" i="11"/>
  <c r="FZ39" i="11"/>
  <c r="GA39" i="11"/>
  <c r="GB39" i="11"/>
  <c r="GC39" i="11"/>
  <c r="GD39" i="11"/>
  <c r="GE39" i="11"/>
  <c r="GF39" i="11"/>
  <c r="GG39" i="11"/>
  <c r="GH39" i="11"/>
  <c r="GI39" i="11"/>
  <c r="GJ39" i="11"/>
  <c r="GK39" i="11"/>
  <c r="GL39" i="11"/>
  <c r="GM39" i="11"/>
  <c r="GN39" i="11"/>
  <c r="GO39" i="11"/>
  <c r="GP39" i="11"/>
  <c r="GQ39" i="11"/>
  <c r="GR39" i="11"/>
  <c r="GS39" i="11"/>
  <c r="GT39" i="11"/>
  <c r="GU39" i="11"/>
  <c r="GV39" i="11"/>
  <c r="GW39" i="11"/>
  <c r="GX39" i="11"/>
  <c r="GY39" i="11"/>
  <c r="GZ39" i="11"/>
  <c r="HA39" i="11"/>
  <c r="HB39" i="11"/>
  <c r="HC39" i="11"/>
  <c r="HD39" i="11"/>
  <c r="HE39" i="11"/>
  <c r="HF39" i="11"/>
  <c r="HG39" i="11"/>
  <c r="HH39" i="11"/>
  <c r="HI39" i="11"/>
  <c r="HJ39" i="11"/>
  <c r="HK39" i="11"/>
  <c r="HL39" i="11"/>
  <c r="HM39" i="11"/>
  <c r="HN39" i="11"/>
  <c r="HO39" i="11"/>
  <c r="HP39" i="11"/>
  <c r="HQ39" i="11"/>
  <c r="HR39" i="11"/>
  <c r="HS39" i="11"/>
  <c r="HT39" i="11"/>
  <c r="HU39" i="11"/>
  <c r="HV39" i="11"/>
  <c r="HW39" i="11"/>
  <c r="HX39" i="11"/>
  <c r="HY39" i="11"/>
  <c r="HZ39" i="11"/>
  <c r="IA39" i="11"/>
  <c r="IB39" i="11"/>
  <c r="IC39" i="11"/>
  <c r="ID39" i="11"/>
  <c r="IE39" i="11"/>
  <c r="IF39" i="11"/>
  <c r="IG39" i="11"/>
  <c r="IH39" i="11"/>
  <c r="II39" i="11"/>
  <c r="IJ39" i="11"/>
  <c r="IK39" i="11"/>
  <c r="IL39" i="11"/>
  <c r="IM39" i="11"/>
  <c r="IN39" i="11"/>
  <c r="IO39" i="11"/>
  <c r="IP39" i="11"/>
  <c r="IQ39" i="11"/>
  <c r="IR39" i="11"/>
  <c r="IS39" i="11"/>
  <c r="IT39" i="11"/>
  <c r="IU39" i="11"/>
  <c r="IV39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AK38" i="11"/>
  <c r="AL38" i="11"/>
  <c r="AM38" i="11"/>
  <c r="AN38" i="11"/>
  <c r="AO38" i="11"/>
  <c r="AP38" i="11"/>
  <c r="AQ38" i="11"/>
  <c r="AR38" i="11"/>
  <c r="AS38" i="11"/>
  <c r="AT38" i="11"/>
  <c r="AU38" i="11"/>
  <c r="AV38" i="11"/>
  <c r="AW38" i="11"/>
  <c r="AX38" i="11"/>
  <c r="AY38" i="11"/>
  <c r="AZ38" i="11"/>
  <c r="BA38" i="11"/>
  <c r="BB38" i="11"/>
  <c r="BC38" i="11"/>
  <c r="BD38" i="11"/>
  <c r="BE38" i="11"/>
  <c r="BF38" i="11"/>
  <c r="BG38" i="11"/>
  <c r="BH38" i="11"/>
  <c r="BI38" i="11"/>
  <c r="BJ38" i="11"/>
  <c r="BK38" i="11"/>
  <c r="BL38" i="11"/>
  <c r="BM38" i="11"/>
  <c r="BN38" i="11"/>
  <c r="BO38" i="11"/>
  <c r="BP38" i="11"/>
  <c r="BQ38" i="11"/>
  <c r="BR38" i="11"/>
  <c r="BS38" i="11"/>
  <c r="BT38" i="11"/>
  <c r="BU38" i="11"/>
  <c r="BV38" i="11"/>
  <c r="BW38" i="11"/>
  <c r="BX38" i="11"/>
  <c r="BY38" i="11"/>
  <c r="BZ38" i="11"/>
  <c r="CA38" i="11"/>
  <c r="CB38" i="11"/>
  <c r="CC38" i="11"/>
  <c r="CD38" i="11"/>
  <c r="CE38" i="11"/>
  <c r="CF38" i="11"/>
  <c r="CG38" i="11"/>
  <c r="CH38" i="11"/>
  <c r="CI38" i="11"/>
  <c r="CJ38" i="11"/>
  <c r="CK38" i="11"/>
  <c r="CL38" i="11"/>
  <c r="CM38" i="11"/>
  <c r="CN38" i="11"/>
  <c r="CO38" i="11"/>
  <c r="CP38" i="11"/>
  <c r="CQ38" i="11"/>
  <c r="CR38" i="11"/>
  <c r="CS38" i="11"/>
  <c r="CT38" i="11"/>
  <c r="CU38" i="11"/>
  <c r="CV38" i="11"/>
  <c r="CW38" i="11"/>
  <c r="CX38" i="11"/>
  <c r="CY38" i="11"/>
  <c r="CZ38" i="11"/>
  <c r="DA38" i="11"/>
  <c r="DB38" i="11"/>
  <c r="DC38" i="11"/>
  <c r="DD38" i="11"/>
  <c r="DE38" i="11"/>
  <c r="DF38" i="11"/>
  <c r="DG38" i="11"/>
  <c r="DH38" i="11"/>
  <c r="DI38" i="11"/>
  <c r="DJ38" i="11"/>
  <c r="DK38" i="11"/>
  <c r="DL38" i="11"/>
  <c r="DM38" i="11"/>
  <c r="DN38" i="11"/>
  <c r="DO38" i="11"/>
  <c r="DP38" i="11"/>
  <c r="DQ38" i="11"/>
  <c r="DR38" i="11"/>
  <c r="DS38" i="11"/>
  <c r="DT38" i="11"/>
  <c r="DU38" i="11"/>
  <c r="DV38" i="11"/>
  <c r="DW38" i="11"/>
  <c r="DX38" i="11"/>
  <c r="DY38" i="11"/>
  <c r="DZ38" i="11"/>
  <c r="EA38" i="11"/>
  <c r="EB38" i="11"/>
  <c r="EC38" i="11"/>
  <c r="ED38" i="11"/>
  <c r="EE38" i="11"/>
  <c r="EF38" i="11"/>
  <c r="EG38" i="11"/>
  <c r="EH38" i="11"/>
  <c r="EI38" i="11"/>
  <c r="EJ38" i="11"/>
  <c r="EK38" i="11"/>
  <c r="EL38" i="11"/>
  <c r="EM38" i="11"/>
  <c r="EN38" i="11"/>
  <c r="EO38" i="11"/>
  <c r="EP38" i="11"/>
  <c r="EQ38" i="11"/>
  <c r="ER38" i="11"/>
  <c r="ES38" i="11"/>
  <c r="ET38" i="11"/>
  <c r="EU38" i="11"/>
  <c r="EV38" i="11"/>
  <c r="EW38" i="11"/>
  <c r="EX38" i="11"/>
  <c r="EY38" i="11"/>
  <c r="EZ38" i="11"/>
  <c r="FA38" i="11"/>
  <c r="FB38" i="11"/>
  <c r="FC38" i="11"/>
  <c r="FD38" i="11"/>
  <c r="FE38" i="11"/>
  <c r="FF38" i="11"/>
  <c r="FG38" i="11"/>
  <c r="FH38" i="11"/>
  <c r="FI38" i="11"/>
  <c r="FJ38" i="11"/>
  <c r="FK38" i="11"/>
  <c r="FL38" i="11"/>
  <c r="FM38" i="11"/>
  <c r="FN38" i="11"/>
  <c r="FO38" i="11"/>
  <c r="FP38" i="11"/>
  <c r="FQ38" i="11"/>
  <c r="FR38" i="11"/>
  <c r="FS38" i="11"/>
  <c r="FT38" i="11"/>
  <c r="FU38" i="11"/>
  <c r="FV38" i="11"/>
  <c r="FW38" i="11"/>
  <c r="FX38" i="11"/>
  <c r="FY38" i="11"/>
  <c r="FZ38" i="11"/>
  <c r="GA38" i="11"/>
  <c r="GB38" i="11"/>
  <c r="GC38" i="11"/>
  <c r="GD38" i="11"/>
  <c r="GE38" i="11"/>
  <c r="GF38" i="11"/>
  <c r="GG38" i="11"/>
  <c r="GH38" i="11"/>
  <c r="GI38" i="11"/>
  <c r="GJ38" i="11"/>
  <c r="GK38" i="11"/>
  <c r="GL38" i="11"/>
  <c r="GM38" i="11"/>
  <c r="GN38" i="11"/>
  <c r="GO38" i="11"/>
  <c r="GP38" i="11"/>
  <c r="GQ38" i="11"/>
  <c r="GR38" i="11"/>
  <c r="GS38" i="11"/>
  <c r="GT38" i="11"/>
  <c r="GU38" i="11"/>
  <c r="GV38" i="11"/>
  <c r="GW38" i="11"/>
  <c r="GX38" i="11"/>
  <c r="GY38" i="11"/>
  <c r="GZ38" i="11"/>
  <c r="HA38" i="11"/>
  <c r="HB38" i="11"/>
  <c r="HC38" i="11"/>
  <c r="HD38" i="11"/>
  <c r="HE38" i="11"/>
  <c r="HF38" i="11"/>
  <c r="HG38" i="11"/>
  <c r="HH38" i="11"/>
  <c r="HI38" i="11"/>
  <c r="HJ38" i="11"/>
  <c r="HK38" i="11"/>
  <c r="HL38" i="11"/>
  <c r="HM38" i="11"/>
  <c r="HN38" i="11"/>
  <c r="HO38" i="11"/>
  <c r="HP38" i="11"/>
  <c r="HQ38" i="11"/>
  <c r="HR38" i="11"/>
  <c r="HS38" i="11"/>
  <c r="HT38" i="11"/>
  <c r="HU38" i="11"/>
  <c r="HV38" i="11"/>
  <c r="HW38" i="11"/>
  <c r="HX38" i="11"/>
  <c r="HY38" i="11"/>
  <c r="HZ38" i="11"/>
  <c r="IA38" i="11"/>
  <c r="IB38" i="11"/>
  <c r="IC38" i="11"/>
  <c r="ID38" i="11"/>
  <c r="IE38" i="11"/>
  <c r="IF38" i="11"/>
  <c r="IG38" i="11"/>
  <c r="IH38" i="11"/>
  <c r="II38" i="11"/>
  <c r="IJ38" i="11"/>
  <c r="IK38" i="11"/>
  <c r="IL38" i="11"/>
  <c r="IM38" i="11"/>
  <c r="IN38" i="11"/>
  <c r="IO38" i="11"/>
  <c r="IP38" i="11"/>
  <c r="IQ38" i="11"/>
  <c r="IR38" i="11"/>
  <c r="IS38" i="11"/>
  <c r="IT38" i="11"/>
  <c r="IU38" i="11"/>
  <c r="IV38" i="11"/>
  <c r="A37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AF37" i="11"/>
  <c r="AG37" i="11"/>
  <c r="AH37" i="11"/>
  <c r="AI37" i="11"/>
  <c r="AJ37" i="11"/>
  <c r="AK37" i="11"/>
  <c r="AL37" i="11"/>
  <c r="AM37" i="11"/>
  <c r="AN37" i="11"/>
  <c r="AO37" i="11"/>
  <c r="AP37" i="11"/>
  <c r="AQ37" i="11"/>
  <c r="AR37" i="11"/>
  <c r="AS37" i="11"/>
  <c r="AT37" i="11"/>
  <c r="AU37" i="11"/>
  <c r="AV37" i="11"/>
  <c r="AW37" i="11"/>
  <c r="AX37" i="11"/>
  <c r="AY37" i="11"/>
  <c r="AZ37" i="11"/>
  <c r="BA37" i="11"/>
  <c r="BB37" i="11"/>
  <c r="BC37" i="11"/>
  <c r="BD37" i="11"/>
  <c r="BE37" i="11"/>
  <c r="BF37" i="11"/>
  <c r="BG37" i="11"/>
  <c r="BH37" i="11"/>
  <c r="BI37" i="11"/>
  <c r="BJ37" i="11"/>
  <c r="BK37" i="11"/>
  <c r="BL37" i="11"/>
  <c r="BM37" i="11"/>
  <c r="BN37" i="11"/>
  <c r="BO37" i="11"/>
  <c r="BP37" i="11"/>
  <c r="BQ37" i="11"/>
  <c r="BR37" i="11"/>
  <c r="BS37" i="11"/>
  <c r="BT37" i="11"/>
  <c r="BU37" i="11"/>
  <c r="BV37" i="11"/>
  <c r="BW37" i="11"/>
  <c r="BX37" i="11"/>
  <c r="BY37" i="11"/>
  <c r="BZ37" i="11"/>
  <c r="CA37" i="11"/>
  <c r="CB37" i="11"/>
  <c r="CC37" i="11"/>
  <c r="CD37" i="11"/>
  <c r="CE37" i="11"/>
  <c r="CF37" i="11"/>
  <c r="CG37" i="11"/>
  <c r="CH37" i="11"/>
  <c r="CI37" i="11"/>
  <c r="CJ37" i="11"/>
  <c r="CK37" i="11"/>
  <c r="CL37" i="11"/>
  <c r="CM37" i="11"/>
  <c r="CN37" i="11"/>
  <c r="CO37" i="11"/>
  <c r="CP37" i="11"/>
  <c r="CQ37" i="11"/>
  <c r="CR37" i="11"/>
  <c r="CS37" i="11"/>
  <c r="CT37" i="11"/>
  <c r="CU37" i="11"/>
  <c r="CV37" i="11"/>
  <c r="CW37" i="11"/>
  <c r="CX37" i="11"/>
  <c r="CY37" i="11"/>
  <c r="CZ37" i="11"/>
  <c r="DA37" i="11"/>
  <c r="DB37" i="11"/>
  <c r="DC37" i="11"/>
  <c r="DD37" i="11"/>
  <c r="DE37" i="11"/>
  <c r="DF37" i="11"/>
  <c r="DG37" i="11"/>
  <c r="DH37" i="11"/>
  <c r="DI37" i="11"/>
  <c r="DJ37" i="11"/>
  <c r="DK37" i="11"/>
  <c r="DL37" i="11"/>
  <c r="DM37" i="11"/>
  <c r="DN37" i="11"/>
  <c r="DO37" i="11"/>
  <c r="DP37" i="11"/>
  <c r="DQ37" i="11"/>
  <c r="DR37" i="11"/>
  <c r="DS37" i="11"/>
  <c r="DT37" i="11"/>
  <c r="DU37" i="11"/>
  <c r="DV37" i="11"/>
  <c r="DW37" i="11"/>
  <c r="DX37" i="11"/>
  <c r="DY37" i="11"/>
  <c r="DZ37" i="11"/>
  <c r="EA37" i="11"/>
  <c r="EB37" i="11"/>
  <c r="EC37" i="11"/>
  <c r="ED37" i="11"/>
  <c r="EE37" i="11"/>
  <c r="EF37" i="11"/>
  <c r="EG37" i="11"/>
  <c r="EH37" i="11"/>
  <c r="EI37" i="11"/>
  <c r="EJ37" i="11"/>
  <c r="EK37" i="11"/>
  <c r="EL37" i="11"/>
  <c r="EM37" i="11"/>
  <c r="EN37" i="11"/>
  <c r="EO37" i="11"/>
  <c r="EP37" i="11"/>
  <c r="EQ37" i="11"/>
  <c r="ER37" i="11"/>
  <c r="ES37" i="11"/>
  <c r="ET37" i="11"/>
  <c r="EU37" i="11"/>
  <c r="EV37" i="11"/>
  <c r="EW37" i="11"/>
  <c r="EX37" i="11"/>
  <c r="EY37" i="11"/>
  <c r="EZ37" i="11"/>
  <c r="FA37" i="11"/>
  <c r="FB37" i="11"/>
  <c r="FC37" i="11"/>
  <c r="FD37" i="11"/>
  <c r="FE37" i="11"/>
  <c r="FF37" i="11"/>
  <c r="FG37" i="11"/>
  <c r="FH37" i="11"/>
  <c r="FI37" i="11"/>
  <c r="FJ37" i="11"/>
  <c r="FK37" i="11"/>
  <c r="FL37" i="11"/>
  <c r="FM37" i="11"/>
  <c r="FN37" i="11"/>
  <c r="FO37" i="11"/>
  <c r="FP37" i="11"/>
  <c r="FQ37" i="11"/>
  <c r="FR37" i="11"/>
  <c r="FS37" i="11"/>
  <c r="FT37" i="11"/>
  <c r="FU37" i="11"/>
  <c r="FV37" i="11"/>
  <c r="FW37" i="11"/>
  <c r="FX37" i="11"/>
  <c r="FY37" i="11"/>
  <c r="FZ37" i="11"/>
  <c r="GA37" i="11"/>
  <c r="GB37" i="11"/>
  <c r="GC37" i="11"/>
  <c r="GD37" i="11"/>
  <c r="GE37" i="11"/>
  <c r="GF37" i="11"/>
  <c r="GG37" i="11"/>
  <c r="GH37" i="11"/>
  <c r="GI37" i="11"/>
  <c r="GJ37" i="11"/>
  <c r="GK37" i="11"/>
  <c r="GL37" i="11"/>
  <c r="GM37" i="11"/>
  <c r="GN37" i="11"/>
  <c r="GO37" i="11"/>
  <c r="GP37" i="11"/>
  <c r="GQ37" i="11"/>
  <c r="GR37" i="11"/>
  <c r="GS37" i="11"/>
  <c r="GT37" i="11"/>
  <c r="GU37" i="11"/>
  <c r="GV37" i="11"/>
  <c r="GW37" i="11"/>
  <c r="GX37" i="11"/>
  <c r="GY37" i="11"/>
  <c r="GZ37" i="11"/>
  <c r="HA37" i="11"/>
  <c r="HB37" i="11"/>
  <c r="HC37" i="11"/>
  <c r="HD37" i="11"/>
  <c r="HE37" i="11"/>
  <c r="HF37" i="11"/>
  <c r="HG37" i="11"/>
  <c r="HH37" i="11"/>
  <c r="HI37" i="11"/>
  <c r="HJ37" i="11"/>
  <c r="HK37" i="11"/>
  <c r="HL37" i="11"/>
  <c r="HM37" i="11"/>
  <c r="HN37" i="11"/>
  <c r="HO37" i="11"/>
  <c r="HP37" i="11"/>
  <c r="HQ37" i="11"/>
  <c r="HR37" i="11"/>
  <c r="HS37" i="11"/>
  <c r="HT37" i="11"/>
  <c r="HU37" i="11"/>
  <c r="HV37" i="11"/>
  <c r="HW37" i="11"/>
  <c r="HX37" i="11"/>
  <c r="HY37" i="11"/>
  <c r="HZ37" i="11"/>
  <c r="IA37" i="11"/>
  <c r="IB37" i="11"/>
  <c r="IC37" i="11"/>
  <c r="ID37" i="11"/>
  <c r="IE37" i="11"/>
  <c r="IF37" i="11"/>
  <c r="IG37" i="11"/>
  <c r="IH37" i="11"/>
  <c r="II37" i="11"/>
  <c r="IJ37" i="11"/>
  <c r="IK37" i="11"/>
  <c r="IL37" i="11"/>
  <c r="IM37" i="11"/>
  <c r="IN37" i="11"/>
  <c r="IO37" i="11"/>
  <c r="IP37" i="11"/>
  <c r="IQ37" i="11"/>
  <c r="IR37" i="11"/>
  <c r="IS37" i="11"/>
  <c r="IT37" i="11"/>
  <c r="IU37" i="11"/>
  <c r="IV37" i="11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AL36" i="11"/>
  <c r="AM36" i="11"/>
  <c r="AN36" i="11"/>
  <c r="AO36" i="11"/>
  <c r="AP36" i="11"/>
  <c r="AQ36" i="11"/>
  <c r="AR36" i="11"/>
  <c r="AS36" i="11"/>
  <c r="AT36" i="11"/>
  <c r="AU36" i="11"/>
  <c r="AV36" i="11"/>
  <c r="AW36" i="11"/>
  <c r="AX36" i="11"/>
  <c r="AY36" i="11"/>
  <c r="AZ36" i="11"/>
  <c r="BA36" i="11"/>
  <c r="BB36" i="11"/>
  <c r="BC36" i="11"/>
  <c r="BD36" i="11"/>
  <c r="BE36" i="11"/>
  <c r="BF36" i="11"/>
  <c r="BG36" i="11"/>
  <c r="BH36" i="11"/>
  <c r="BI36" i="11"/>
  <c r="BJ36" i="11"/>
  <c r="BK36" i="11"/>
  <c r="BL36" i="11"/>
  <c r="BM36" i="11"/>
  <c r="BN36" i="11"/>
  <c r="BO36" i="11"/>
  <c r="BP36" i="11"/>
  <c r="BQ36" i="11"/>
  <c r="BR36" i="11"/>
  <c r="BS36" i="11"/>
  <c r="BT36" i="11"/>
  <c r="BU36" i="11"/>
  <c r="BV36" i="11"/>
  <c r="BW36" i="11"/>
  <c r="BX36" i="11"/>
  <c r="BY36" i="11"/>
  <c r="BZ36" i="11"/>
  <c r="CA36" i="11"/>
  <c r="CB36" i="11"/>
  <c r="CC36" i="11"/>
  <c r="CD36" i="11"/>
  <c r="CE36" i="11"/>
  <c r="CF36" i="11"/>
  <c r="CG36" i="11"/>
  <c r="CH36" i="11"/>
  <c r="CI36" i="11"/>
  <c r="CJ36" i="11"/>
  <c r="CK36" i="11"/>
  <c r="CL36" i="11"/>
  <c r="CM36" i="11"/>
  <c r="CN36" i="11"/>
  <c r="CO36" i="11"/>
  <c r="CP36" i="11"/>
  <c r="CQ36" i="11"/>
  <c r="CR36" i="11"/>
  <c r="CS36" i="11"/>
  <c r="CT36" i="11"/>
  <c r="CU36" i="11"/>
  <c r="CV36" i="11"/>
  <c r="CW36" i="11"/>
  <c r="CX36" i="11"/>
  <c r="CY36" i="11"/>
  <c r="CZ36" i="11"/>
  <c r="DA36" i="11"/>
  <c r="DB36" i="11"/>
  <c r="DC36" i="11"/>
  <c r="DD36" i="11"/>
  <c r="DE36" i="11"/>
  <c r="DF36" i="11"/>
  <c r="DG36" i="11"/>
  <c r="DH36" i="11"/>
  <c r="DI36" i="11"/>
  <c r="DJ36" i="11"/>
  <c r="DK36" i="11"/>
  <c r="DL36" i="11"/>
  <c r="DM36" i="11"/>
  <c r="DN36" i="11"/>
  <c r="DO36" i="11"/>
  <c r="DP36" i="11"/>
  <c r="DQ36" i="11"/>
  <c r="DR36" i="11"/>
  <c r="DS36" i="11"/>
  <c r="DT36" i="11"/>
  <c r="DU36" i="11"/>
  <c r="DV36" i="11"/>
  <c r="DW36" i="11"/>
  <c r="DX36" i="11"/>
  <c r="DY36" i="11"/>
  <c r="DZ36" i="11"/>
  <c r="EA36" i="11"/>
  <c r="EB36" i="11"/>
  <c r="EC36" i="11"/>
  <c r="ED36" i="11"/>
  <c r="EE36" i="11"/>
  <c r="EF36" i="11"/>
  <c r="EG36" i="11"/>
  <c r="EH36" i="11"/>
  <c r="EI36" i="11"/>
  <c r="EJ36" i="11"/>
  <c r="EK36" i="11"/>
  <c r="EL36" i="11"/>
  <c r="EM36" i="11"/>
  <c r="EN36" i="11"/>
  <c r="EO36" i="11"/>
  <c r="EP36" i="11"/>
  <c r="EQ36" i="11"/>
  <c r="ER36" i="11"/>
  <c r="ES36" i="11"/>
  <c r="ET36" i="11"/>
  <c r="EU36" i="11"/>
  <c r="EV36" i="11"/>
  <c r="EW36" i="11"/>
  <c r="EX36" i="11"/>
  <c r="EY36" i="11"/>
  <c r="EZ36" i="11"/>
  <c r="FA36" i="11"/>
  <c r="FB36" i="11"/>
  <c r="FC36" i="11"/>
  <c r="FD36" i="11"/>
  <c r="FE36" i="11"/>
  <c r="FF36" i="11"/>
  <c r="FG36" i="11"/>
  <c r="FH36" i="11"/>
  <c r="FI36" i="11"/>
  <c r="FJ36" i="11"/>
  <c r="FK36" i="11"/>
  <c r="FL36" i="11"/>
  <c r="FM36" i="11"/>
  <c r="FN36" i="11"/>
  <c r="FO36" i="11"/>
  <c r="FP36" i="11"/>
  <c r="FQ36" i="11"/>
  <c r="FR36" i="11"/>
  <c r="FS36" i="11"/>
  <c r="FT36" i="11"/>
  <c r="FU36" i="11"/>
  <c r="FV36" i="11"/>
  <c r="FW36" i="11"/>
  <c r="FX36" i="11"/>
  <c r="FY36" i="11"/>
  <c r="FZ36" i="11"/>
  <c r="GA36" i="11"/>
  <c r="GB36" i="11"/>
  <c r="GC36" i="11"/>
  <c r="GD36" i="11"/>
  <c r="GE36" i="11"/>
  <c r="GF36" i="11"/>
  <c r="GG36" i="11"/>
  <c r="GH36" i="11"/>
  <c r="GI36" i="11"/>
  <c r="GJ36" i="11"/>
  <c r="GK36" i="11"/>
  <c r="GL36" i="11"/>
  <c r="GM36" i="11"/>
  <c r="GN36" i="11"/>
  <c r="GO36" i="11"/>
  <c r="GP36" i="11"/>
  <c r="GQ36" i="11"/>
  <c r="GR36" i="11"/>
  <c r="GS36" i="11"/>
  <c r="GT36" i="11"/>
  <c r="GU36" i="11"/>
  <c r="GV36" i="11"/>
  <c r="GW36" i="11"/>
  <c r="GX36" i="11"/>
  <c r="GY36" i="11"/>
  <c r="GZ36" i="11"/>
  <c r="HA36" i="11"/>
  <c r="HB36" i="11"/>
  <c r="HC36" i="11"/>
  <c r="HD36" i="11"/>
  <c r="HE36" i="11"/>
  <c r="HF36" i="11"/>
  <c r="HG36" i="11"/>
  <c r="HH36" i="11"/>
  <c r="HI36" i="11"/>
  <c r="HJ36" i="11"/>
  <c r="HK36" i="11"/>
  <c r="HL36" i="11"/>
  <c r="HM36" i="11"/>
  <c r="HN36" i="11"/>
  <c r="HO36" i="11"/>
  <c r="HP36" i="11"/>
  <c r="HQ36" i="11"/>
  <c r="HR36" i="11"/>
  <c r="HS36" i="11"/>
  <c r="HT36" i="11"/>
  <c r="HU36" i="11"/>
  <c r="HV36" i="11"/>
  <c r="HW36" i="11"/>
  <c r="HX36" i="11"/>
  <c r="HY36" i="11"/>
  <c r="HZ36" i="11"/>
  <c r="IA36" i="11"/>
  <c r="IB36" i="11"/>
  <c r="IC36" i="11"/>
  <c r="ID36" i="11"/>
  <c r="IE36" i="11"/>
  <c r="IF36" i="11"/>
  <c r="IG36" i="11"/>
  <c r="IH36" i="11"/>
  <c r="II36" i="11"/>
  <c r="IJ36" i="11"/>
  <c r="IK36" i="11"/>
  <c r="IL36" i="11"/>
  <c r="IM36" i="11"/>
  <c r="IN36" i="11"/>
  <c r="IO36" i="11"/>
  <c r="IP36" i="11"/>
  <c r="IQ36" i="11"/>
  <c r="IR36" i="11"/>
  <c r="IS36" i="11"/>
  <c r="IT36" i="11"/>
  <c r="IU36" i="11"/>
  <c r="IV36" i="11"/>
  <c r="A35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AM35" i="11"/>
  <c r="AN35" i="11"/>
  <c r="AO35" i="11"/>
  <c r="AP35" i="11"/>
  <c r="AQ35" i="11"/>
  <c r="AR35" i="11"/>
  <c r="AS35" i="11"/>
  <c r="AT35" i="11"/>
  <c r="AU35" i="11"/>
  <c r="AV35" i="11"/>
  <c r="AW35" i="11"/>
  <c r="AX35" i="11"/>
  <c r="AY35" i="11"/>
  <c r="AZ35" i="11"/>
  <c r="BA35" i="11"/>
  <c r="BB35" i="11"/>
  <c r="BC35" i="11"/>
  <c r="BD35" i="11"/>
  <c r="BE35" i="11"/>
  <c r="BF35" i="11"/>
  <c r="BG35" i="11"/>
  <c r="BH35" i="11"/>
  <c r="BI35" i="11"/>
  <c r="BJ35" i="11"/>
  <c r="BK35" i="11"/>
  <c r="BL35" i="11"/>
  <c r="BM35" i="11"/>
  <c r="BN35" i="11"/>
  <c r="BO35" i="11"/>
  <c r="BP35" i="11"/>
  <c r="BQ35" i="11"/>
  <c r="BR35" i="11"/>
  <c r="BS35" i="11"/>
  <c r="BT35" i="11"/>
  <c r="BU35" i="11"/>
  <c r="BV35" i="11"/>
  <c r="BW35" i="11"/>
  <c r="BX35" i="11"/>
  <c r="BY35" i="11"/>
  <c r="BZ35" i="11"/>
  <c r="CA35" i="11"/>
  <c r="CB35" i="11"/>
  <c r="CC35" i="11"/>
  <c r="CD35" i="11"/>
  <c r="CE35" i="11"/>
  <c r="CF35" i="11"/>
  <c r="CG35" i="11"/>
  <c r="CH35" i="11"/>
  <c r="CI35" i="11"/>
  <c r="CJ35" i="11"/>
  <c r="CK35" i="11"/>
  <c r="CL35" i="11"/>
  <c r="CM35" i="11"/>
  <c r="CN35" i="11"/>
  <c r="CO35" i="11"/>
  <c r="CP35" i="11"/>
  <c r="CQ35" i="11"/>
  <c r="CR35" i="11"/>
  <c r="CS35" i="11"/>
  <c r="CT35" i="11"/>
  <c r="CU35" i="11"/>
  <c r="CV35" i="11"/>
  <c r="CW35" i="11"/>
  <c r="CX35" i="11"/>
  <c r="CY35" i="11"/>
  <c r="CZ35" i="11"/>
  <c r="DA35" i="11"/>
  <c r="DB35" i="11"/>
  <c r="DC35" i="11"/>
  <c r="DD35" i="11"/>
  <c r="DE35" i="11"/>
  <c r="DF35" i="11"/>
  <c r="DG35" i="11"/>
  <c r="DH35" i="11"/>
  <c r="DI35" i="11"/>
  <c r="DJ35" i="11"/>
  <c r="DK35" i="11"/>
  <c r="DL35" i="11"/>
  <c r="DM35" i="11"/>
  <c r="DN35" i="11"/>
  <c r="DO35" i="11"/>
  <c r="DP35" i="11"/>
  <c r="DQ35" i="11"/>
  <c r="DR35" i="11"/>
  <c r="DS35" i="11"/>
  <c r="DT35" i="11"/>
  <c r="DU35" i="11"/>
  <c r="DV35" i="11"/>
  <c r="DW35" i="11"/>
  <c r="DX35" i="11"/>
  <c r="DY35" i="11"/>
  <c r="DZ35" i="11"/>
  <c r="EA35" i="11"/>
  <c r="EB35" i="11"/>
  <c r="EC35" i="11"/>
  <c r="ED35" i="11"/>
  <c r="EE35" i="11"/>
  <c r="EF35" i="11"/>
  <c r="EG35" i="11"/>
  <c r="EH35" i="11"/>
  <c r="EI35" i="11"/>
  <c r="EJ35" i="11"/>
  <c r="EK35" i="11"/>
  <c r="EL35" i="11"/>
  <c r="EM35" i="11"/>
  <c r="EN35" i="11"/>
  <c r="EO35" i="11"/>
  <c r="EP35" i="11"/>
  <c r="EQ35" i="11"/>
  <c r="ER35" i="11"/>
  <c r="ES35" i="11"/>
  <c r="ET35" i="11"/>
  <c r="EU35" i="11"/>
  <c r="EV35" i="11"/>
  <c r="EW35" i="11"/>
  <c r="EX35" i="11"/>
  <c r="EY35" i="11"/>
  <c r="EZ35" i="11"/>
  <c r="FA35" i="11"/>
  <c r="FB35" i="11"/>
  <c r="FC35" i="11"/>
  <c r="FD35" i="11"/>
  <c r="FE35" i="11"/>
  <c r="FF35" i="11"/>
  <c r="FG35" i="11"/>
  <c r="FH35" i="11"/>
  <c r="FI35" i="11"/>
  <c r="FJ35" i="11"/>
  <c r="FK35" i="11"/>
  <c r="FL35" i="11"/>
  <c r="FM35" i="11"/>
  <c r="FN35" i="11"/>
  <c r="FO35" i="11"/>
  <c r="FP35" i="11"/>
  <c r="FQ35" i="11"/>
  <c r="FR35" i="11"/>
  <c r="FS35" i="11"/>
  <c r="FT35" i="11"/>
  <c r="FU35" i="11"/>
  <c r="FV35" i="11"/>
  <c r="FW35" i="11"/>
  <c r="FX35" i="11"/>
  <c r="FY35" i="11"/>
  <c r="FZ35" i="11"/>
  <c r="GA35" i="11"/>
  <c r="GB35" i="11"/>
  <c r="GC35" i="11"/>
  <c r="GD35" i="11"/>
  <c r="GE35" i="11"/>
  <c r="GF35" i="11"/>
  <c r="GG35" i="11"/>
  <c r="GH35" i="11"/>
  <c r="GI35" i="11"/>
  <c r="GJ35" i="11"/>
  <c r="GK35" i="11"/>
  <c r="GL35" i="11"/>
  <c r="GM35" i="11"/>
  <c r="GN35" i="11"/>
  <c r="GO35" i="11"/>
  <c r="GP35" i="11"/>
  <c r="GQ35" i="11"/>
  <c r="GR35" i="11"/>
  <c r="GS35" i="11"/>
  <c r="GT35" i="11"/>
  <c r="GU35" i="11"/>
  <c r="GV35" i="11"/>
  <c r="GW35" i="11"/>
  <c r="GX35" i="11"/>
  <c r="GY35" i="11"/>
  <c r="GZ35" i="11"/>
  <c r="HA35" i="11"/>
  <c r="HB35" i="11"/>
  <c r="HC35" i="11"/>
  <c r="HD35" i="11"/>
  <c r="HE35" i="11"/>
  <c r="HF35" i="11"/>
  <c r="HG35" i="11"/>
  <c r="HH35" i="11"/>
  <c r="HI35" i="11"/>
  <c r="HJ35" i="11"/>
  <c r="HK35" i="11"/>
  <c r="HL35" i="11"/>
  <c r="HM35" i="11"/>
  <c r="HN35" i="11"/>
  <c r="HO35" i="11"/>
  <c r="HP35" i="11"/>
  <c r="HQ35" i="11"/>
  <c r="HR35" i="11"/>
  <c r="HS35" i="11"/>
  <c r="HT35" i="11"/>
  <c r="HU35" i="11"/>
  <c r="HV35" i="11"/>
  <c r="HW35" i="11"/>
  <c r="HX35" i="11"/>
  <c r="HY35" i="11"/>
  <c r="HZ35" i="11"/>
  <c r="IA35" i="11"/>
  <c r="IB35" i="11"/>
  <c r="IC35" i="11"/>
  <c r="ID35" i="11"/>
  <c r="IE35" i="11"/>
  <c r="IF35" i="11"/>
  <c r="IG35" i="11"/>
  <c r="IH35" i="11"/>
  <c r="II35" i="11"/>
  <c r="IJ35" i="11"/>
  <c r="IK35" i="11"/>
  <c r="IL35" i="11"/>
  <c r="IM35" i="11"/>
  <c r="IN35" i="11"/>
  <c r="IO35" i="11"/>
  <c r="IP35" i="11"/>
  <c r="IQ35" i="11"/>
  <c r="IR35" i="11"/>
  <c r="IS35" i="11"/>
  <c r="IT35" i="11"/>
  <c r="IU35" i="11"/>
  <c r="IV35" i="11"/>
  <c r="A34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AM34" i="11"/>
  <c r="AN34" i="11"/>
  <c r="AO34" i="11"/>
  <c r="AP34" i="11"/>
  <c r="AQ34" i="11"/>
  <c r="AR34" i="11"/>
  <c r="AS34" i="11"/>
  <c r="AT34" i="11"/>
  <c r="AU34" i="11"/>
  <c r="AV34" i="11"/>
  <c r="AW34" i="11"/>
  <c r="AX34" i="11"/>
  <c r="AY34" i="11"/>
  <c r="AZ34" i="11"/>
  <c r="BA34" i="11"/>
  <c r="BB34" i="11"/>
  <c r="BC34" i="11"/>
  <c r="BD34" i="11"/>
  <c r="BE34" i="11"/>
  <c r="BF34" i="11"/>
  <c r="BG34" i="11"/>
  <c r="BH34" i="11"/>
  <c r="BI34" i="11"/>
  <c r="BJ34" i="11"/>
  <c r="BK34" i="11"/>
  <c r="BL34" i="11"/>
  <c r="BM34" i="11"/>
  <c r="BN34" i="11"/>
  <c r="BO34" i="11"/>
  <c r="BP34" i="11"/>
  <c r="BQ34" i="11"/>
  <c r="BR34" i="11"/>
  <c r="BS34" i="11"/>
  <c r="BT34" i="11"/>
  <c r="BU34" i="11"/>
  <c r="BV34" i="11"/>
  <c r="BW34" i="11"/>
  <c r="BX34" i="11"/>
  <c r="BY34" i="11"/>
  <c r="BZ34" i="11"/>
  <c r="CA34" i="11"/>
  <c r="CB34" i="11"/>
  <c r="CC34" i="11"/>
  <c r="CD34" i="11"/>
  <c r="CE34" i="11"/>
  <c r="CF34" i="11"/>
  <c r="CG34" i="11"/>
  <c r="CH34" i="11"/>
  <c r="CI34" i="11"/>
  <c r="CJ34" i="11"/>
  <c r="CK34" i="11"/>
  <c r="CL34" i="11"/>
  <c r="CM34" i="11"/>
  <c r="CN34" i="11"/>
  <c r="CO34" i="11"/>
  <c r="CP34" i="11"/>
  <c r="CQ34" i="11"/>
  <c r="CR34" i="11"/>
  <c r="CS34" i="11"/>
  <c r="CT34" i="11"/>
  <c r="CU34" i="11"/>
  <c r="CV34" i="11"/>
  <c r="CW34" i="11"/>
  <c r="CX34" i="11"/>
  <c r="CY34" i="11"/>
  <c r="CZ34" i="11"/>
  <c r="DA34" i="11"/>
  <c r="DB34" i="11"/>
  <c r="DC34" i="11"/>
  <c r="DD34" i="11"/>
  <c r="DE34" i="11"/>
  <c r="DF34" i="11"/>
  <c r="DG34" i="11"/>
  <c r="DH34" i="11"/>
  <c r="DI34" i="11"/>
  <c r="DJ34" i="11"/>
  <c r="DK34" i="11"/>
  <c r="DL34" i="11"/>
  <c r="DM34" i="11"/>
  <c r="DN34" i="11"/>
  <c r="DO34" i="11"/>
  <c r="DP34" i="11"/>
  <c r="DQ34" i="11"/>
  <c r="DR34" i="11"/>
  <c r="DS34" i="11"/>
  <c r="DT34" i="11"/>
  <c r="DU34" i="11"/>
  <c r="DV34" i="11"/>
  <c r="DW34" i="11"/>
  <c r="DX34" i="11"/>
  <c r="DY34" i="11"/>
  <c r="DZ34" i="11"/>
  <c r="EA34" i="11"/>
  <c r="EB34" i="11"/>
  <c r="EC34" i="11"/>
  <c r="ED34" i="11"/>
  <c r="EE34" i="11"/>
  <c r="EF34" i="11"/>
  <c r="EG34" i="11"/>
  <c r="EH34" i="11"/>
  <c r="EI34" i="11"/>
  <c r="EJ34" i="11"/>
  <c r="EK34" i="11"/>
  <c r="EL34" i="11"/>
  <c r="EM34" i="11"/>
  <c r="EN34" i="11"/>
  <c r="EO34" i="11"/>
  <c r="EP34" i="11"/>
  <c r="EQ34" i="11"/>
  <c r="ER34" i="11"/>
  <c r="ES34" i="11"/>
  <c r="ET34" i="11"/>
  <c r="EU34" i="11"/>
  <c r="EV34" i="11"/>
  <c r="EW34" i="11"/>
  <c r="EX34" i="11"/>
  <c r="EY34" i="11"/>
  <c r="EZ34" i="11"/>
  <c r="FA34" i="11"/>
  <c r="FB34" i="11"/>
  <c r="FC34" i="11"/>
  <c r="FD34" i="11"/>
  <c r="FE34" i="11"/>
  <c r="FF34" i="11"/>
  <c r="FG34" i="11"/>
  <c r="FH34" i="11"/>
  <c r="FI34" i="11"/>
  <c r="FJ34" i="11"/>
  <c r="FK34" i="11"/>
  <c r="FL34" i="11"/>
  <c r="FM34" i="11"/>
  <c r="FN34" i="11"/>
  <c r="FO34" i="11"/>
  <c r="FP34" i="11"/>
  <c r="FQ34" i="11"/>
  <c r="FR34" i="11"/>
  <c r="FS34" i="11"/>
  <c r="FT34" i="11"/>
  <c r="FU34" i="11"/>
  <c r="FV34" i="11"/>
  <c r="FW34" i="11"/>
  <c r="FX34" i="11"/>
  <c r="FY34" i="11"/>
  <c r="FZ34" i="11"/>
  <c r="GA34" i="11"/>
  <c r="GB34" i="11"/>
  <c r="GC34" i="11"/>
  <c r="GD34" i="11"/>
  <c r="GE34" i="11"/>
  <c r="GF34" i="11"/>
  <c r="GG34" i="11"/>
  <c r="GH34" i="11"/>
  <c r="GI34" i="11"/>
  <c r="GJ34" i="11"/>
  <c r="GK34" i="11"/>
  <c r="GL34" i="11"/>
  <c r="GM34" i="11"/>
  <c r="GN34" i="11"/>
  <c r="GO34" i="11"/>
  <c r="GP34" i="11"/>
  <c r="GQ34" i="11"/>
  <c r="GR34" i="11"/>
  <c r="GS34" i="11"/>
  <c r="GT34" i="11"/>
  <c r="GU34" i="11"/>
  <c r="GV34" i="11"/>
  <c r="GW34" i="11"/>
  <c r="GX34" i="11"/>
  <c r="GY34" i="11"/>
  <c r="GZ34" i="11"/>
  <c r="HA34" i="11"/>
  <c r="HB34" i="11"/>
  <c r="HC34" i="11"/>
  <c r="HD34" i="11"/>
  <c r="HE34" i="11"/>
  <c r="HF34" i="11"/>
  <c r="HG34" i="11"/>
  <c r="HH34" i="11"/>
  <c r="HI34" i="11"/>
  <c r="HJ34" i="11"/>
  <c r="HK34" i="11"/>
  <c r="HL34" i="11"/>
  <c r="HM34" i="11"/>
  <c r="HN34" i="11"/>
  <c r="HO34" i="11"/>
  <c r="HP34" i="11"/>
  <c r="HQ34" i="11"/>
  <c r="HR34" i="11"/>
  <c r="HS34" i="11"/>
  <c r="HT34" i="11"/>
  <c r="HU34" i="11"/>
  <c r="HV34" i="11"/>
  <c r="HW34" i="11"/>
  <c r="HX34" i="11"/>
  <c r="HY34" i="11"/>
  <c r="HZ34" i="11"/>
  <c r="IA34" i="11"/>
  <c r="IB34" i="11"/>
  <c r="IC34" i="11"/>
  <c r="ID34" i="11"/>
  <c r="IE34" i="11"/>
  <c r="IF34" i="11"/>
  <c r="IG34" i="11"/>
  <c r="IH34" i="11"/>
  <c r="II34" i="11"/>
  <c r="IJ34" i="11"/>
  <c r="IK34" i="11"/>
  <c r="IL34" i="11"/>
  <c r="IM34" i="11"/>
  <c r="IN34" i="11"/>
  <c r="IO34" i="11"/>
  <c r="IP34" i="11"/>
  <c r="IQ34" i="11"/>
  <c r="IR34" i="11"/>
  <c r="IS34" i="11"/>
  <c r="IT34" i="11"/>
  <c r="IU34" i="11"/>
  <c r="IV34" i="11"/>
  <c r="A33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V33" i="11"/>
  <c r="AW33" i="11"/>
  <c r="AX33" i="11"/>
  <c r="AY33" i="11"/>
  <c r="AZ33" i="11"/>
  <c r="BA33" i="11"/>
  <c r="BB33" i="11"/>
  <c r="BC33" i="11"/>
  <c r="BD33" i="11"/>
  <c r="BE33" i="11"/>
  <c r="BF33" i="11"/>
  <c r="BG33" i="11"/>
  <c r="BH33" i="11"/>
  <c r="BI33" i="11"/>
  <c r="BJ33" i="11"/>
  <c r="BK33" i="11"/>
  <c r="BL33" i="11"/>
  <c r="BM33" i="11"/>
  <c r="BN33" i="11"/>
  <c r="BO33" i="11"/>
  <c r="BP33" i="11"/>
  <c r="BQ33" i="11"/>
  <c r="BR33" i="11"/>
  <c r="BS33" i="11"/>
  <c r="BT33" i="11"/>
  <c r="BU33" i="11"/>
  <c r="BV33" i="11"/>
  <c r="BW33" i="11"/>
  <c r="BX33" i="11"/>
  <c r="BY33" i="11"/>
  <c r="BZ33" i="11"/>
  <c r="CA33" i="11"/>
  <c r="CB33" i="11"/>
  <c r="CC33" i="11"/>
  <c r="CD33" i="11"/>
  <c r="CE33" i="11"/>
  <c r="CF33" i="11"/>
  <c r="CG33" i="11"/>
  <c r="CH33" i="11"/>
  <c r="CI33" i="11"/>
  <c r="CJ33" i="11"/>
  <c r="CK33" i="11"/>
  <c r="CL33" i="11"/>
  <c r="CM33" i="11"/>
  <c r="CN33" i="11"/>
  <c r="CO33" i="11"/>
  <c r="CP33" i="11"/>
  <c r="CQ33" i="11"/>
  <c r="CR33" i="11"/>
  <c r="CS33" i="11"/>
  <c r="CT33" i="11"/>
  <c r="CU33" i="11"/>
  <c r="CV33" i="11"/>
  <c r="CW33" i="11"/>
  <c r="CX33" i="11"/>
  <c r="CY33" i="11"/>
  <c r="CZ33" i="11"/>
  <c r="DA33" i="11"/>
  <c r="DB33" i="11"/>
  <c r="DC33" i="11"/>
  <c r="DD33" i="11"/>
  <c r="DE33" i="11"/>
  <c r="DF33" i="11"/>
  <c r="DG33" i="11"/>
  <c r="DH33" i="11"/>
  <c r="DI33" i="11"/>
  <c r="DJ33" i="11"/>
  <c r="DK33" i="11"/>
  <c r="DL33" i="11"/>
  <c r="DM33" i="11"/>
  <c r="DN33" i="11"/>
  <c r="DO33" i="11"/>
  <c r="DP33" i="11"/>
  <c r="DQ33" i="11"/>
  <c r="DR33" i="11"/>
  <c r="DS33" i="11"/>
  <c r="DT33" i="11"/>
  <c r="DU33" i="11"/>
  <c r="DV33" i="11"/>
  <c r="DW33" i="11"/>
  <c r="DX33" i="11"/>
  <c r="DY33" i="11"/>
  <c r="DZ33" i="11"/>
  <c r="EA33" i="11"/>
  <c r="EB33" i="11"/>
  <c r="EC33" i="11"/>
  <c r="ED33" i="11"/>
  <c r="EE33" i="11"/>
  <c r="EF33" i="11"/>
  <c r="EG33" i="11"/>
  <c r="EH33" i="11"/>
  <c r="EI33" i="11"/>
  <c r="EJ33" i="11"/>
  <c r="EK33" i="11"/>
  <c r="EL33" i="11"/>
  <c r="EM33" i="11"/>
  <c r="EN33" i="11"/>
  <c r="EO33" i="11"/>
  <c r="EP33" i="11"/>
  <c r="EQ33" i="11"/>
  <c r="ER33" i="11"/>
  <c r="ES33" i="11"/>
  <c r="ET33" i="11"/>
  <c r="EU33" i="11"/>
  <c r="EV33" i="11"/>
  <c r="EW33" i="11"/>
  <c r="EX33" i="11"/>
  <c r="EY33" i="11"/>
  <c r="EZ33" i="11"/>
  <c r="FA33" i="11"/>
  <c r="FB33" i="11"/>
  <c r="FC33" i="11"/>
  <c r="FD33" i="11"/>
  <c r="FE33" i="11"/>
  <c r="FF33" i="11"/>
  <c r="FG33" i="11"/>
  <c r="FH33" i="11"/>
  <c r="FI33" i="11"/>
  <c r="FJ33" i="11"/>
  <c r="FK33" i="11"/>
  <c r="FL33" i="11"/>
  <c r="FM33" i="11"/>
  <c r="FN33" i="11"/>
  <c r="FO33" i="11"/>
  <c r="FP33" i="11"/>
  <c r="FQ33" i="11"/>
  <c r="FR33" i="11"/>
  <c r="FS33" i="11"/>
  <c r="FT33" i="11"/>
  <c r="FU33" i="11"/>
  <c r="FV33" i="11"/>
  <c r="FW33" i="11"/>
  <c r="FX33" i="11"/>
  <c r="FY33" i="11"/>
  <c r="FZ33" i="11"/>
  <c r="GA33" i="11"/>
  <c r="GB33" i="11"/>
  <c r="GC33" i="11"/>
  <c r="GD33" i="11"/>
  <c r="GE33" i="11"/>
  <c r="GF33" i="11"/>
  <c r="GG33" i="11"/>
  <c r="GH33" i="11"/>
  <c r="GI33" i="11"/>
  <c r="GJ33" i="11"/>
  <c r="GK33" i="11"/>
  <c r="GL33" i="11"/>
  <c r="GM33" i="11"/>
  <c r="GN33" i="11"/>
  <c r="GO33" i="11"/>
  <c r="GP33" i="11"/>
  <c r="GQ33" i="11"/>
  <c r="GR33" i="11"/>
  <c r="GS33" i="11"/>
  <c r="GT33" i="11"/>
  <c r="GU33" i="11"/>
  <c r="GV33" i="11"/>
  <c r="GW33" i="11"/>
  <c r="GX33" i="11"/>
  <c r="GY33" i="11"/>
  <c r="GZ33" i="11"/>
  <c r="HA33" i="11"/>
  <c r="HB33" i="11"/>
  <c r="HC33" i="11"/>
  <c r="HD33" i="11"/>
  <c r="HE33" i="11"/>
  <c r="HF33" i="11"/>
  <c r="HG33" i="11"/>
  <c r="HH33" i="11"/>
  <c r="HI33" i="11"/>
  <c r="HJ33" i="11"/>
  <c r="HK33" i="11"/>
  <c r="HL33" i="11"/>
  <c r="HM33" i="11"/>
  <c r="HN33" i="11"/>
  <c r="HO33" i="11"/>
  <c r="HP33" i="11"/>
  <c r="HQ33" i="11"/>
  <c r="HR33" i="11"/>
  <c r="HS33" i="11"/>
  <c r="HT33" i="11"/>
  <c r="HU33" i="11"/>
  <c r="HV33" i="11"/>
  <c r="HW33" i="11"/>
  <c r="HX33" i="11"/>
  <c r="HY33" i="11"/>
  <c r="HZ33" i="11"/>
  <c r="IA33" i="11"/>
  <c r="IB33" i="11"/>
  <c r="IC33" i="11"/>
  <c r="ID33" i="11"/>
  <c r="IE33" i="11"/>
  <c r="IF33" i="11"/>
  <c r="IG33" i="11"/>
  <c r="IH33" i="11"/>
  <c r="II33" i="11"/>
  <c r="IJ33" i="11"/>
  <c r="IK33" i="11"/>
  <c r="IL33" i="11"/>
  <c r="IM33" i="11"/>
  <c r="IN33" i="11"/>
  <c r="IO33" i="11"/>
  <c r="IP33" i="11"/>
  <c r="IQ33" i="11"/>
  <c r="IR33" i="11"/>
  <c r="IS33" i="11"/>
  <c r="IT33" i="11"/>
  <c r="IU33" i="11"/>
  <c r="IV33" i="11"/>
  <c r="A32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V32" i="11"/>
  <c r="AW32" i="11"/>
  <c r="AX32" i="11"/>
  <c r="AY32" i="11"/>
  <c r="AZ32" i="11"/>
  <c r="BA32" i="11"/>
  <c r="BB32" i="11"/>
  <c r="BC32" i="11"/>
  <c r="BD32" i="11"/>
  <c r="BE32" i="11"/>
  <c r="BF32" i="11"/>
  <c r="BG32" i="11"/>
  <c r="BH32" i="11"/>
  <c r="BI32" i="11"/>
  <c r="BJ32" i="11"/>
  <c r="BK32" i="11"/>
  <c r="BL32" i="11"/>
  <c r="BM32" i="11"/>
  <c r="BN32" i="11"/>
  <c r="BO32" i="11"/>
  <c r="BP32" i="11"/>
  <c r="BQ32" i="11"/>
  <c r="BR32" i="11"/>
  <c r="BS32" i="11"/>
  <c r="BT32" i="11"/>
  <c r="BU32" i="11"/>
  <c r="BV32" i="11"/>
  <c r="BW32" i="11"/>
  <c r="BX32" i="11"/>
  <c r="BY32" i="11"/>
  <c r="BZ32" i="11"/>
  <c r="CA32" i="11"/>
  <c r="CB32" i="11"/>
  <c r="CC32" i="11"/>
  <c r="CD32" i="11"/>
  <c r="CE32" i="11"/>
  <c r="CF32" i="11"/>
  <c r="CG32" i="11"/>
  <c r="CH32" i="11"/>
  <c r="CI32" i="11"/>
  <c r="CJ32" i="11"/>
  <c r="CK32" i="11"/>
  <c r="CL32" i="11"/>
  <c r="CM32" i="11"/>
  <c r="CN32" i="11"/>
  <c r="CO32" i="11"/>
  <c r="CP32" i="11"/>
  <c r="CQ32" i="11"/>
  <c r="CR32" i="11"/>
  <c r="CS32" i="11"/>
  <c r="CT32" i="11"/>
  <c r="CU32" i="11"/>
  <c r="CV32" i="11"/>
  <c r="CW32" i="11"/>
  <c r="CX32" i="11"/>
  <c r="CY32" i="11"/>
  <c r="CZ32" i="11"/>
  <c r="DA32" i="11"/>
  <c r="DB32" i="11"/>
  <c r="DC32" i="11"/>
  <c r="DD32" i="11"/>
  <c r="DE32" i="11"/>
  <c r="DF32" i="11"/>
  <c r="DG32" i="11"/>
  <c r="DH32" i="11"/>
  <c r="DI32" i="11"/>
  <c r="DJ32" i="11"/>
  <c r="DK32" i="11"/>
  <c r="DL32" i="11"/>
  <c r="DM32" i="11"/>
  <c r="DN32" i="11"/>
  <c r="DO32" i="11"/>
  <c r="DP32" i="11"/>
  <c r="DQ32" i="11"/>
  <c r="DR32" i="11"/>
  <c r="DS32" i="11"/>
  <c r="DT32" i="11"/>
  <c r="DU32" i="11"/>
  <c r="DV32" i="11"/>
  <c r="DW32" i="11"/>
  <c r="DX32" i="11"/>
  <c r="DY32" i="11"/>
  <c r="DZ32" i="11"/>
  <c r="EA32" i="11"/>
  <c r="EB32" i="11"/>
  <c r="EC32" i="11"/>
  <c r="ED32" i="11"/>
  <c r="EE32" i="11"/>
  <c r="EF32" i="11"/>
  <c r="EG32" i="11"/>
  <c r="EH32" i="11"/>
  <c r="EI32" i="11"/>
  <c r="EJ32" i="11"/>
  <c r="EK32" i="11"/>
  <c r="EL32" i="11"/>
  <c r="EM32" i="11"/>
  <c r="EN32" i="11"/>
  <c r="EO32" i="11"/>
  <c r="EP32" i="11"/>
  <c r="EQ32" i="11"/>
  <c r="ER32" i="11"/>
  <c r="ES32" i="11"/>
  <c r="ET32" i="11"/>
  <c r="EU32" i="11"/>
  <c r="EV32" i="11"/>
  <c r="EW32" i="11"/>
  <c r="EX32" i="11"/>
  <c r="EY32" i="11"/>
  <c r="EZ32" i="11"/>
  <c r="FA32" i="11"/>
  <c r="FB32" i="11"/>
  <c r="FC32" i="11"/>
  <c r="FD32" i="11"/>
  <c r="FE32" i="11"/>
  <c r="FF32" i="11"/>
  <c r="FG32" i="11"/>
  <c r="FH32" i="11"/>
  <c r="FI32" i="11"/>
  <c r="FJ32" i="11"/>
  <c r="FK32" i="11"/>
  <c r="FL32" i="11"/>
  <c r="FM32" i="11"/>
  <c r="FN32" i="11"/>
  <c r="FO32" i="11"/>
  <c r="FP32" i="11"/>
  <c r="FQ32" i="11"/>
  <c r="FR32" i="11"/>
  <c r="FS32" i="11"/>
  <c r="FT32" i="11"/>
  <c r="FU32" i="11"/>
  <c r="FV32" i="11"/>
  <c r="FW32" i="11"/>
  <c r="FX32" i="11"/>
  <c r="FY32" i="11"/>
  <c r="FZ32" i="11"/>
  <c r="GA32" i="11"/>
  <c r="GB32" i="11"/>
  <c r="GC32" i="11"/>
  <c r="GD32" i="11"/>
  <c r="GE32" i="11"/>
  <c r="GF32" i="11"/>
  <c r="GG32" i="11"/>
  <c r="GH32" i="11"/>
  <c r="GI32" i="11"/>
  <c r="GJ32" i="11"/>
  <c r="GK32" i="11"/>
  <c r="GL32" i="11"/>
  <c r="GM32" i="11"/>
  <c r="GN32" i="11"/>
  <c r="GO32" i="11"/>
  <c r="GP32" i="11"/>
  <c r="GQ32" i="11"/>
  <c r="GR32" i="11"/>
  <c r="GS32" i="11"/>
  <c r="GT32" i="11"/>
  <c r="GU32" i="11"/>
  <c r="GV32" i="11"/>
  <c r="GW32" i="11"/>
  <c r="GX32" i="11"/>
  <c r="GY32" i="11"/>
  <c r="GZ32" i="11"/>
  <c r="HA32" i="11"/>
  <c r="HB32" i="11"/>
  <c r="HC32" i="11"/>
  <c r="HD32" i="11"/>
  <c r="HE32" i="11"/>
  <c r="HF32" i="11"/>
  <c r="HG32" i="11"/>
  <c r="HH32" i="11"/>
  <c r="HI32" i="11"/>
  <c r="HJ32" i="11"/>
  <c r="HK32" i="11"/>
  <c r="HL32" i="11"/>
  <c r="HM32" i="11"/>
  <c r="HN32" i="11"/>
  <c r="HO32" i="11"/>
  <c r="HP32" i="11"/>
  <c r="HQ32" i="11"/>
  <c r="HR32" i="11"/>
  <c r="HS32" i="11"/>
  <c r="HT32" i="11"/>
  <c r="HU32" i="11"/>
  <c r="HV32" i="11"/>
  <c r="HW32" i="11"/>
  <c r="HX32" i="11"/>
  <c r="HY32" i="11"/>
  <c r="HZ32" i="11"/>
  <c r="IA32" i="11"/>
  <c r="IB32" i="11"/>
  <c r="IC32" i="11"/>
  <c r="ID32" i="11"/>
  <c r="IE32" i="11"/>
  <c r="IF32" i="11"/>
  <c r="IG32" i="11"/>
  <c r="IH32" i="11"/>
  <c r="II32" i="11"/>
  <c r="IJ32" i="11"/>
  <c r="IK32" i="11"/>
  <c r="IL32" i="11"/>
  <c r="IM32" i="11"/>
  <c r="IN32" i="11"/>
  <c r="IO32" i="11"/>
  <c r="IP32" i="11"/>
  <c r="IQ32" i="11"/>
  <c r="IR32" i="11"/>
  <c r="IS32" i="11"/>
  <c r="IT32" i="11"/>
  <c r="IU32" i="11"/>
  <c r="IV32" i="11"/>
  <c r="A31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V31" i="11"/>
  <c r="AW31" i="11"/>
  <c r="AX31" i="11"/>
  <c r="AY31" i="11"/>
  <c r="AZ31" i="11"/>
  <c r="BA31" i="11"/>
  <c r="BB31" i="11"/>
  <c r="BC31" i="11"/>
  <c r="BD31" i="11"/>
  <c r="BE31" i="11"/>
  <c r="BF31" i="11"/>
  <c r="BG31" i="11"/>
  <c r="BH31" i="11"/>
  <c r="BI31" i="11"/>
  <c r="BJ31" i="11"/>
  <c r="BK31" i="11"/>
  <c r="BL31" i="11"/>
  <c r="BM31" i="11"/>
  <c r="BN31" i="11"/>
  <c r="BO31" i="11"/>
  <c r="BP31" i="11"/>
  <c r="BQ31" i="11"/>
  <c r="BR31" i="11"/>
  <c r="BS31" i="11"/>
  <c r="BT31" i="11"/>
  <c r="BU31" i="11"/>
  <c r="BV31" i="11"/>
  <c r="BW31" i="11"/>
  <c r="BX31" i="11"/>
  <c r="BY31" i="11"/>
  <c r="BZ31" i="11"/>
  <c r="CA31" i="11"/>
  <c r="CB31" i="11"/>
  <c r="CC31" i="11"/>
  <c r="CD31" i="11"/>
  <c r="CE31" i="11"/>
  <c r="CF31" i="11"/>
  <c r="CG31" i="11"/>
  <c r="CH31" i="11"/>
  <c r="CI31" i="11"/>
  <c r="CJ31" i="11"/>
  <c r="CK31" i="11"/>
  <c r="CL31" i="11"/>
  <c r="CM31" i="11"/>
  <c r="CN31" i="11"/>
  <c r="CO31" i="11"/>
  <c r="CP31" i="11"/>
  <c r="CQ31" i="11"/>
  <c r="CR31" i="11"/>
  <c r="CS31" i="11"/>
  <c r="CT31" i="11"/>
  <c r="CU31" i="11"/>
  <c r="CV31" i="11"/>
  <c r="CW31" i="11"/>
  <c r="CX31" i="11"/>
  <c r="CY31" i="11"/>
  <c r="CZ31" i="11"/>
  <c r="DA31" i="11"/>
  <c r="DB31" i="11"/>
  <c r="DC31" i="11"/>
  <c r="DD31" i="11"/>
  <c r="DE31" i="11"/>
  <c r="DF31" i="11"/>
  <c r="DG31" i="11"/>
  <c r="DH31" i="11"/>
  <c r="DI31" i="11"/>
  <c r="DJ31" i="11"/>
  <c r="DK31" i="11"/>
  <c r="DL31" i="11"/>
  <c r="DM31" i="11"/>
  <c r="DN31" i="11"/>
  <c r="DO31" i="11"/>
  <c r="DP31" i="11"/>
  <c r="DQ31" i="11"/>
  <c r="DR31" i="11"/>
  <c r="DS31" i="11"/>
  <c r="DT31" i="11"/>
  <c r="DU31" i="11"/>
  <c r="DV31" i="11"/>
  <c r="DW31" i="11"/>
  <c r="DX31" i="11"/>
  <c r="DY31" i="11"/>
  <c r="DZ31" i="11"/>
  <c r="EA31" i="11"/>
  <c r="EB31" i="11"/>
  <c r="EC31" i="11"/>
  <c r="ED31" i="11"/>
  <c r="EE31" i="11"/>
  <c r="EF31" i="11"/>
  <c r="EG31" i="11"/>
  <c r="EH31" i="11"/>
  <c r="EI31" i="11"/>
  <c r="EJ31" i="11"/>
  <c r="EK31" i="11"/>
  <c r="EL31" i="11"/>
  <c r="EM31" i="11"/>
  <c r="EN31" i="11"/>
  <c r="EO31" i="11"/>
  <c r="EP31" i="11"/>
  <c r="EQ31" i="11"/>
  <c r="ER31" i="11"/>
  <c r="ES31" i="11"/>
  <c r="ET31" i="11"/>
  <c r="EU31" i="11"/>
  <c r="EV31" i="11"/>
  <c r="EW31" i="11"/>
  <c r="EX31" i="11"/>
  <c r="EY31" i="11"/>
  <c r="EZ31" i="11"/>
  <c r="FA31" i="11"/>
  <c r="FB31" i="11"/>
  <c r="FC31" i="11"/>
  <c r="FD31" i="11"/>
  <c r="FE31" i="11"/>
  <c r="FF31" i="11"/>
  <c r="FG31" i="11"/>
  <c r="FH31" i="11"/>
  <c r="FI31" i="11"/>
  <c r="FJ31" i="11"/>
  <c r="FK31" i="11"/>
  <c r="FL31" i="11"/>
  <c r="FM31" i="11"/>
  <c r="FN31" i="11"/>
  <c r="FO31" i="11"/>
  <c r="FP31" i="11"/>
  <c r="FQ31" i="11"/>
  <c r="FR31" i="11"/>
  <c r="FS31" i="11"/>
  <c r="FT31" i="11"/>
  <c r="FU31" i="11"/>
  <c r="FV31" i="11"/>
  <c r="FW31" i="11"/>
  <c r="FX31" i="11"/>
  <c r="FY31" i="11"/>
  <c r="FZ31" i="11"/>
  <c r="GA31" i="11"/>
  <c r="GB31" i="11"/>
  <c r="GC31" i="11"/>
  <c r="GD31" i="11"/>
  <c r="GE31" i="11"/>
  <c r="GF31" i="11"/>
  <c r="GG31" i="11"/>
  <c r="GH31" i="11"/>
  <c r="GI31" i="11"/>
  <c r="GJ31" i="11"/>
  <c r="GK31" i="11"/>
  <c r="GL31" i="11"/>
  <c r="GM31" i="11"/>
  <c r="GN31" i="11"/>
  <c r="GO31" i="11"/>
  <c r="GP31" i="11"/>
  <c r="GQ31" i="11"/>
  <c r="GR31" i="11"/>
  <c r="GS31" i="11"/>
  <c r="GT31" i="11"/>
  <c r="GU31" i="11"/>
  <c r="GV31" i="11"/>
  <c r="GW31" i="11"/>
  <c r="GX31" i="11"/>
  <c r="GY31" i="11"/>
  <c r="GZ31" i="11"/>
  <c r="HA31" i="11"/>
  <c r="HB31" i="11"/>
  <c r="HC31" i="11"/>
  <c r="HD31" i="11"/>
  <c r="HE31" i="11"/>
  <c r="HF31" i="11"/>
  <c r="HG31" i="11"/>
  <c r="HH31" i="11"/>
  <c r="HI31" i="11"/>
  <c r="HJ31" i="11"/>
  <c r="HK31" i="11"/>
  <c r="HL31" i="11"/>
  <c r="HM31" i="11"/>
  <c r="HN31" i="11"/>
  <c r="HO31" i="11"/>
  <c r="HP31" i="11"/>
  <c r="HQ31" i="11"/>
  <c r="HR31" i="11"/>
  <c r="HS31" i="11"/>
  <c r="HT31" i="11"/>
  <c r="HU31" i="11"/>
  <c r="HV31" i="11"/>
  <c r="HW31" i="11"/>
  <c r="HX31" i="11"/>
  <c r="HY31" i="11"/>
  <c r="HZ31" i="11"/>
  <c r="IA31" i="11"/>
  <c r="IB31" i="11"/>
  <c r="IC31" i="11"/>
  <c r="ID31" i="11"/>
  <c r="IE31" i="11"/>
  <c r="IF31" i="11"/>
  <c r="IG31" i="11"/>
  <c r="IH31" i="11"/>
  <c r="II31" i="11"/>
  <c r="IJ31" i="11"/>
  <c r="IK31" i="11"/>
  <c r="IL31" i="11"/>
  <c r="IM31" i="11"/>
  <c r="IN31" i="11"/>
  <c r="IO31" i="11"/>
  <c r="IP31" i="11"/>
  <c r="IQ31" i="11"/>
  <c r="IR31" i="11"/>
  <c r="IS31" i="11"/>
  <c r="IT31" i="11"/>
  <c r="IU31" i="11"/>
  <c r="IV31" i="11"/>
  <c r="A30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V30" i="11"/>
  <c r="AW30" i="11"/>
  <c r="AX30" i="11"/>
  <c r="AY30" i="11"/>
  <c r="AZ30" i="11"/>
  <c r="BA30" i="11"/>
  <c r="BB30" i="11"/>
  <c r="BC30" i="11"/>
  <c r="BD30" i="11"/>
  <c r="BE30" i="11"/>
  <c r="BF30" i="11"/>
  <c r="BG30" i="11"/>
  <c r="BH30" i="11"/>
  <c r="BI30" i="11"/>
  <c r="BJ30" i="11"/>
  <c r="BK30" i="11"/>
  <c r="BL30" i="11"/>
  <c r="BM30" i="11"/>
  <c r="BN30" i="11"/>
  <c r="BO30" i="11"/>
  <c r="BP30" i="11"/>
  <c r="BQ30" i="11"/>
  <c r="BR30" i="11"/>
  <c r="BS30" i="11"/>
  <c r="BT30" i="11"/>
  <c r="BU30" i="11"/>
  <c r="BV30" i="11"/>
  <c r="BW30" i="11"/>
  <c r="BX30" i="11"/>
  <c r="BY30" i="11"/>
  <c r="BZ30" i="11"/>
  <c r="CA30" i="11"/>
  <c r="CB30" i="11"/>
  <c r="CC30" i="11"/>
  <c r="CD30" i="11"/>
  <c r="CE30" i="11"/>
  <c r="CF30" i="11"/>
  <c r="CG30" i="11"/>
  <c r="CH30" i="11"/>
  <c r="CI30" i="11"/>
  <c r="CJ30" i="11"/>
  <c r="CK30" i="11"/>
  <c r="CL30" i="11"/>
  <c r="CM30" i="11"/>
  <c r="CN30" i="11"/>
  <c r="CO30" i="11"/>
  <c r="CP30" i="11"/>
  <c r="CQ30" i="11"/>
  <c r="CR30" i="11"/>
  <c r="CS30" i="11"/>
  <c r="CT30" i="11"/>
  <c r="CU30" i="11"/>
  <c r="CV30" i="11"/>
  <c r="CW30" i="11"/>
  <c r="CX30" i="11"/>
  <c r="CY30" i="11"/>
  <c r="CZ30" i="11"/>
  <c r="DA30" i="11"/>
  <c r="DB30" i="11"/>
  <c r="DC30" i="11"/>
  <c r="DD30" i="11"/>
  <c r="DE30" i="11"/>
  <c r="DF30" i="11"/>
  <c r="DG30" i="11"/>
  <c r="DH30" i="11"/>
  <c r="DI30" i="11"/>
  <c r="DJ30" i="11"/>
  <c r="DK30" i="11"/>
  <c r="DL30" i="11"/>
  <c r="DM30" i="11"/>
  <c r="DN30" i="11"/>
  <c r="DO30" i="11"/>
  <c r="DP30" i="11"/>
  <c r="DQ30" i="11"/>
  <c r="DR30" i="11"/>
  <c r="DS30" i="11"/>
  <c r="DT30" i="11"/>
  <c r="DU30" i="11"/>
  <c r="DV30" i="11"/>
  <c r="DW30" i="11"/>
  <c r="DX30" i="11"/>
  <c r="DY30" i="11"/>
  <c r="DZ30" i="11"/>
  <c r="EA30" i="11"/>
  <c r="EB30" i="11"/>
  <c r="EC30" i="11"/>
  <c r="ED30" i="11"/>
  <c r="EE30" i="11"/>
  <c r="EF30" i="11"/>
  <c r="EG30" i="11"/>
  <c r="EH30" i="11"/>
  <c r="EI30" i="11"/>
  <c r="EJ30" i="11"/>
  <c r="EK30" i="11"/>
  <c r="EL30" i="11"/>
  <c r="EM30" i="11"/>
  <c r="EN30" i="11"/>
  <c r="EO30" i="11"/>
  <c r="EP30" i="11"/>
  <c r="EQ30" i="11"/>
  <c r="ER30" i="11"/>
  <c r="ES30" i="11"/>
  <c r="ET30" i="11"/>
  <c r="EU30" i="11"/>
  <c r="EV30" i="11"/>
  <c r="EW30" i="11"/>
  <c r="EX30" i="11"/>
  <c r="EY30" i="11"/>
  <c r="EZ30" i="11"/>
  <c r="FA30" i="11"/>
  <c r="FB30" i="11"/>
  <c r="FC30" i="11"/>
  <c r="FD30" i="11"/>
  <c r="FE30" i="11"/>
  <c r="FF30" i="11"/>
  <c r="FG30" i="11"/>
  <c r="FH30" i="11"/>
  <c r="FI30" i="11"/>
  <c r="FJ30" i="11"/>
  <c r="FK30" i="11"/>
  <c r="FL30" i="11"/>
  <c r="FM30" i="11"/>
  <c r="FN30" i="11"/>
  <c r="FO30" i="11"/>
  <c r="FP30" i="11"/>
  <c r="FQ30" i="11"/>
  <c r="FR30" i="11"/>
  <c r="FS30" i="11"/>
  <c r="FT30" i="11"/>
  <c r="FU30" i="11"/>
  <c r="FV30" i="11"/>
  <c r="FW30" i="11"/>
  <c r="FX30" i="11"/>
  <c r="FY30" i="11"/>
  <c r="FZ30" i="11"/>
  <c r="GA30" i="11"/>
  <c r="GB30" i="11"/>
  <c r="GC30" i="11"/>
  <c r="GD30" i="11"/>
  <c r="GE30" i="11"/>
  <c r="GF30" i="11"/>
  <c r="GG30" i="11"/>
  <c r="GH30" i="11"/>
  <c r="GI30" i="11"/>
  <c r="GJ30" i="11"/>
  <c r="GK30" i="11"/>
  <c r="GL30" i="11"/>
  <c r="GM30" i="11"/>
  <c r="GN30" i="11"/>
  <c r="GO30" i="11"/>
  <c r="GP30" i="11"/>
  <c r="GQ30" i="11"/>
  <c r="GR30" i="11"/>
  <c r="GS30" i="11"/>
  <c r="GT30" i="11"/>
  <c r="GU30" i="11"/>
  <c r="GV30" i="11"/>
  <c r="GW30" i="11"/>
  <c r="GX30" i="11"/>
  <c r="GY30" i="11"/>
  <c r="GZ30" i="11"/>
  <c r="HA30" i="11"/>
  <c r="HB30" i="11"/>
  <c r="HC30" i="11"/>
  <c r="HD30" i="11"/>
  <c r="HE30" i="11"/>
  <c r="HF30" i="11"/>
  <c r="HG30" i="11"/>
  <c r="HH30" i="11"/>
  <c r="HI30" i="11"/>
  <c r="HJ30" i="11"/>
  <c r="HK30" i="11"/>
  <c r="HL30" i="11"/>
  <c r="HM30" i="11"/>
  <c r="HN30" i="11"/>
  <c r="HO30" i="11"/>
  <c r="HP30" i="11"/>
  <c r="HQ30" i="11"/>
  <c r="HR30" i="11"/>
  <c r="HS30" i="11"/>
  <c r="HT30" i="11"/>
  <c r="HU30" i="11"/>
  <c r="HV30" i="11"/>
  <c r="HW30" i="11"/>
  <c r="HX30" i="11"/>
  <c r="HY30" i="11"/>
  <c r="HZ30" i="11"/>
  <c r="IA30" i="11"/>
  <c r="IB30" i="11"/>
  <c r="IC30" i="11"/>
  <c r="ID30" i="11"/>
  <c r="IE30" i="11"/>
  <c r="IF30" i="11"/>
  <c r="IG30" i="11"/>
  <c r="IH30" i="11"/>
  <c r="II30" i="11"/>
  <c r="IJ30" i="11"/>
  <c r="IK30" i="11"/>
  <c r="IL30" i="11"/>
  <c r="IM30" i="11"/>
  <c r="IN30" i="11"/>
  <c r="IO30" i="11"/>
  <c r="IP30" i="11"/>
  <c r="IQ30" i="11"/>
  <c r="IR30" i="11"/>
  <c r="IS30" i="11"/>
  <c r="IT30" i="11"/>
  <c r="IU30" i="11"/>
  <c r="IV30" i="11"/>
  <c r="A29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BB29" i="11"/>
  <c r="BC29" i="11"/>
  <c r="BD29" i="11"/>
  <c r="BE29" i="11"/>
  <c r="BF29" i="11"/>
  <c r="BG29" i="11"/>
  <c r="BH29" i="11"/>
  <c r="BI29" i="11"/>
  <c r="BJ29" i="11"/>
  <c r="BK29" i="11"/>
  <c r="BL29" i="11"/>
  <c r="BM29" i="11"/>
  <c r="BN29" i="11"/>
  <c r="BO29" i="11"/>
  <c r="BP29" i="11"/>
  <c r="BQ29" i="11"/>
  <c r="BR29" i="11"/>
  <c r="BS29" i="11"/>
  <c r="BT29" i="11"/>
  <c r="BU29" i="11"/>
  <c r="BV29" i="11"/>
  <c r="BW29" i="11"/>
  <c r="BX29" i="11"/>
  <c r="BY29" i="11"/>
  <c r="BZ29" i="11"/>
  <c r="CA29" i="11"/>
  <c r="CB29" i="11"/>
  <c r="CC29" i="11"/>
  <c r="CD29" i="11"/>
  <c r="CE29" i="11"/>
  <c r="CF29" i="11"/>
  <c r="CG29" i="11"/>
  <c r="CH29" i="11"/>
  <c r="CI29" i="11"/>
  <c r="CJ29" i="11"/>
  <c r="CK29" i="11"/>
  <c r="CL29" i="11"/>
  <c r="CM29" i="11"/>
  <c r="CN29" i="11"/>
  <c r="CO29" i="11"/>
  <c r="CP29" i="11"/>
  <c r="CQ29" i="11"/>
  <c r="CR29" i="11"/>
  <c r="CS29" i="11"/>
  <c r="CT29" i="11"/>
  <c r="CU29" i="11"/>
  <c r="CV29" i="11"/>
  <c r="CW29" i="11"/>
  <c r="CX29" i="11"/>
  <c r="CY29" i="11"/>
  <c r="CZ29" i="11"/>
  <c r="DA29" i="11"/>
  <c r="DB29" i="11"/>
  <c r="DC29" i="11"/>
  <c r="DD29" i="11"/>
  <c r="DE29" i="11"/>
  <c r="DF29" i="11"/>
  <c r="DG29" i="11"/>
  <c r="DH29" i="11"/>
  <c r="DI29" i="11"/>
  <c r="DJ29" i="11"/>
  <c r="DK29" i="11"/>
  <c r="DL29" i="11"/>
  <c r="DM29" i="11"/>
  <c r="DN29" i="11"/>
  <c r="DO29" i="11"/>
  <c r="DP29" i="11"/>
  <c r="DQ29" i="11"/>
  <c r="DR29" i="11"/>
  <c r="DS29" i="11"/>
  <c r="DT29" i="11"/>
  <c r="DU29" i="11"/>
  <c r="DV29" i="11"/>
  <c r="DW29" i="11"/>
  <c r="DX29" i="11"/>
  <c r="DY29" i="11"/>
  <c r="DZ29" i="11"/>
  <c r="EA29" i="11"/>
  <c r="EB29" i="11"/>
  <c r="EC29" i="11"/>
  <c r="ED29" i="11"/>
  <c r="EE29" i="11"/>
  <c r="EF29" i="11"/>
  <c r="EG29" i="11"/>
  <c r="EH29" i="11"/>
  <c r="EI29" i="11"/>
  <c r="EJ29" i="11"/>
  <c r="EK29" i="11"/>
  <c r="EL29" i="11"/>
  <c r="EM29" i="11"/>
  <c r="EN29" i="11"/>
  <c r="EO29" i="11"/>
  <c r="EP29" i="11"/>
  <c r="EQ29" i="11"/>
  <c r="ER29" i="11"/>
  <c r="ES29" i="11"/>
  <c r="ET29" i="11"/>
  <c r="EU29" i="11"/>
  <c r="EV29" i="11"/>
  <c r="EW29" i="11"/>
  <c r="EX29" i="11"/>
  <c r="EY29" i="11"/>
  <c r="EZ29" i="11"/>
  <c r="FA29" i="11"/>
  <c r="FB29" i="11"/>
  <c r="FC29" i="11"/>
  <c r="FD29" i="11"/>
  <c r="FE29" i="11"/>
  <c r="FF29" i="11"/>
  <c r="FG29" i="11"/>
  <c r="FH29" i="11"/>
  <c r="FI29" i="11"/>
  <c r="FJ29" i="11"/>
  <c r="FK29" i="11"/>
  <c r="FL29" i="11"/>
  <c r="FM29" i="11"/>
  <c r="FN29" i="11"/>
  <c r="FO29" i="11"/>
  <c r="FP29" i="11"/>
  <c r="FQ29" i="11"/>
  <c r="FR29" i="11"/>
  <c r="FS29" i="11"/>
  <c r="FT29" i="11"/>
  <c r="FU29" i="11"/>
  <c r="FV29" i="11"/>
  <c r="FW29" i="11"/>
  <c r="FX29" i="11"/>
  <c r="FY29" i="11"/>
  <c r="FZ29" i="11"/>
  <c r="GA29" i="11"/>
  <c r="GB29" i="11"/>
  <c r="GC29" i="11"/>
  <c r="GD29" i="11"/>
  <c r="GE29" i="11"/>
  <c r="GF29" i="11"/>
  <c r="GG29" i="11"/>
  <c r="GH29" i="11"/>
  <c r="GI29" i="11"/>
  <c r="GJ29" i="11"/>
  <c r="GK29" i="11"/>
  <c r="GL29" i="11"/>
  <c r="GM29" i="11"/>
  <c r="GN29" i="11"/>
  <c r="GO29" i="11"/>
  <c r="GP29" i="11"/>
  <c r="GQ29" i="11"/>
  <c r="GR29" i="11"/>
  <c r="GS29" i="11"/>
  <c r="GT29" i="11"/>
  <c r="GU29" i="11"/>
  <c r="GV29" i="11"/>
  <c r="GW29" i="11"/>
  <c r="GX29" i="11"/>
  <c r="GY29" i="11"/>
  <c r="GZ29" i="11"/>
  <c r="HA29" i="11"/>
  <c r="HB29" i="11"/>
  <c r="HC29" i="11"/>
  <c r="HD29" i="11"/>
  <c r="HE29" i="11"/>
  <c r="HF29" i="11"/>
  <c r="HG29" i="11"/>
  <c r="HH29" i="11"/>
  <c r="HI29" i="11"/>
  <c r="HJ29" i="11"/>
  <c r="HK29" i="11"/>
  <c r="HL29" i="11"/>
  <c r="HM29" i="11"/>
  <c r="HN29" i="11"/>
  <c r="HO29" i="11"/>
  <c r="HP29" i="11"/>
  <c r="HQ29" i="11"/>
  <c r="HR29" i="11"/>
  <c r="HS29" i="11"/>
  <c r="HT29" i="11"/>
  <c r="HU29" i="11"/>
  <c r="HV29" i="11"/>
  <c r="HW29" i="11"/>
  <c r="HX29" i="11"/>
  <c r="HY29" i="11"/>
  <c r="HZ29" i="11"/>
  <c r="IA29" i="11"/>
  <c r="IB29" i="11"/>
  <c r="IC29" i="11"/>
  <c r="ID29" i="11"/>
  <c r="IE29" i="11"/>
  <c r="IF29" i="11"/>
  <c r="IG29" i="11"/>
  <c r="IH29" i="11"/>
  <c r="II29" i="11"/>
  <c r="IJ29" i="11"/>
  <c r="IK29" i="11"/>
  <c r="IL29" i="11"/>
  <c r="IM29" i="11"/>
  <c r="IN29" i="11"/>
  <c r="IO29" i="11"/>
  <c r="IP29" i="11"/>
  <c r="IQ29" i="11"/>
  <c r="IR29" i="11"/>
  <c r="IS29" i="11"/>
  <c r="IT29" i="11"/>
  <c r="IU29" i="11"/>
  <c r="IV29" i="11"/>
  <c r="A28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X28" i="11"/>
  <c r="AY28" i="11"/>
  <c r="AZ28" i="11"/>
  <c r="BA28" i="11"/>
  <c r="BB28" i="11"/>
  <c r="BC28" i="11"/>
  <c r="BD28" i="11"/>
  <c r="BE28" i="11"/>
  <c r="BF28" i="11"/>
  <c r="BG28" i="11"/>
  <c r="BH28" i="11"/>
  <c r="BI28" i="11"/>
  <c r="BJ28" i="11"/>
  <c r="BK28" i="11"/>
  <c r="BL28" i="11"/>
  <c r="BM28" i="11"/>
  <c r="BN28" i="11"/>
  <c r="BO28" i="11"/>
  <c r="BP28" i="11"/>
  <c r="BQ28" i="11"/>
  <c r="BR28" i="11"/>
  <c r="BS28" i="11"/>
  <c r="BT28" i="11"/>
  <c r="BU28" i="11"/>
  <c r="BV28" i="11"/>
  <c r="BW28" i="11"/>
  <c r="BX28" i="11"/>
  <c r="BY28" i="11"/>
  <c r="BZ28" i="11"/>
  <c r="CA28" i="11"/>
  <c r="CB28" i="11"/>
  <c r="CC28" i="11"/>
  <c r="CD28" i="11"/>
  <c r="CE28" i="11"/>
  <c r="CF28" i="11"/>
  <c r="CG28" i="11"/>
  <c r="CH28" i="11"/>
  <c r="CI28" i="11"/>
  <c r="CJ28" i="11"/>
  <c r="CK28" i="11"/>
  <c r="CL28" i="11"/>
  <c r="CM28" i="11"/>
  <c r="CN28" i="11"/>
  <c r="CO28" i="11"/>
  <c r="CP28" i="11"/>
  <c r="CQ28" i="11"/>
  <c r="CR28" i="11"/>
  <c r="CS28" i="11"/>
  <c r="CT28" i="11"/>
  <c r="CU28" i="11"/>
  <c r="CV28" i="11"/>
  <c r="CW28" i="11"/>
  <c r="CX28" i="11"/>
  <c r="CY28" i="11"/>
  <c r="CZ28" i="11"/>
  <c r="DA28" i="11"/>
  <c r="DB28" i="11"/>
  <c r="DC28" i="11"/>
  <c r="DD28" i="11"/>
  <c r="DE28" i="11"/>
  <c r="DF28" i="11"/>
  <c r="DG28" i="11"/>
  <c r="DH28" i="11"/>
  <c r="DI28" i="11"/>
  <c r="DJ28" i="11"/>
  <c r="DK28" i="11"/>
  <c r="DL28" i="11"/>
  <c r="DM28" i="11"/>
  <c r="DN28" i="11"/>
  <c r="DO28" i="11"/>
  <c r="DP28" i="11"/>
  <c r="DQ28" i="11"/>
  <c r="DR28" i="11"/>
  <c r="DS28" i="11"/>
  <c r="DT28" i="11"/>
  <c r="DU28" i="11"/>
  <c r="DV28" i="11"/>
  <c r="DW28" i="11"/>
  <c r="DX28" i="11"/>
  <c r="DY28" i="11"/>
  <c r="DZ28" i="11"/>
  <c r="EA28" i="11"/>
  <c r="EB28" i="11"/>
  <c r="EC28" i="11"/>
  <c r="ED28" i="11"/>
  <c r="EE28" i="11"/>
  <c r="EF28" i="11"/>
  <c r="EG28" i="11"/>
  <c r="EH28" i="11"/>
  <c r="EI28" i="11"/>
  <c r="EJ28" i="11"/>
  <c r="EK28" i="11"/>
  <c r="EL28" i="11"/>
  <c r="EM28" i="11"/>
  <c r="EN28" i="11"/>
  <c r="EO28" i="11"/>
  <c r="EP28" i="11"/>
  <c r="EQ28" i="11"/>
  <c r="ER28" i="11"/>
  <c r="ES28" i="11"/>
  <c r="ET28" i="11"/>
  <c r="EU28" i="11"/>
  <c r="EV28" i="11"/>
  <c r="EW28" i="11"/>
  <c r="EX28" i="11"/>
  <c r="EY28" i="11"/>
  <c r="EZ28" i="11"/>
  <c r="FA28" i="11"/>
  <c r="FB28" i="11"/>
  <c r="FC28" i="11"/>
  <c r="FD28" i="11"/>
  <c r="FE28" i="11"/>
  <c r="FF28" i="11"/>
  <c r="FG28" i="11"/>
  <c r="FH28" i="11"/>
  <c r="FI28" i="11"/>
  <c r="FJ28" i="11"/>
  <c r="FK28" i="11"/>
  <c r="FL28" i="11"/>
  <c r="FM28" i="11"/>
  <c r="FN28" i="11"/>
  <c r="FO28" i="11"/>
  <c r="FP28" i="11"/>
  <c r="FQ28" i="11"/>
  <c r="FR28" i="11"/>
  <c r="FS28" i="11"/>
  <c r="FT28" i="11"/>
  <c r="FU28" i="11"/>
  <c r="FV28" i="11"/>
  <c r="FW28" i="11"/>
  <c r="FX28" i="11"/>
  <c r="FY28" i="11"/>
  <c r="FZ28" i="11"/>
  <c r="GA28" i="11"/>
  <c r="GB28" i="11"/>
  <c r="GC28" i="11"/>
  <c r="GD28" i="11"/>
  <c r="GE28" i="11"/>
  <c r="GF28" i="11"/>
  <c r="GG28" i="11"/>
  <c r="GH28" i="11"/>
  <c r="GI28" i="11"/>
  <c r="GJ28" i="11"/>
  <c r="GK28" i="11"/>
  <c r="GL28" i="11"/>
  <c r="GM28" i="11"/>
  <c r="GN28" i="11"/>
  <c r="GO28" i="11"/>
  <c r="GP28" i="11"/>
  <c r="GQ28" i="11"/>
  <c r="GR28" i="11"/>
  <c r="GS28" i="11"/>
  <c r="GT28" i="11"/>
  <c r="GU28" i="11"/>
  <c r="GV28" i="11"/>
  <c r="GW28" i="11"/>
  <c r="GX28" i="11"/>
  <c r="GY28" i="11"/>
  <c r="GZ28" i="11"/>
  <c r="HA28" i="11"/>
  <c r="HB28" i="11"/>
  <c r="HC28" i="11"/>
  <c r="HD28" i="11"/>
  <c r="HE28" i="11"/>
  <c r="HF28" i="11"/>
  <c r="HG28" i="11"/>
  <c r="HH28" i="11"/>
  <c r="HI28" i="11"/>
  <c r="HJ28" i="11"/>
  <c r="HK28" i="11"/>
  <c r="HL28" i="11"/>
  <c r="HM28" i="11"/>
  <c r="HN28" i="11"/>
  <c r="HO28" i="11"/>
  <c r="HP28" i="11"/>
  <c r="HQ28" i="11"/>
  <c r="HR28" i="11"/>
  <c r="HS28" i="11"/>
  <c r="HT28" i="11"/>
  <c r="HU28" i="11"/>
  <c r="HV28" i="11"/>
  <c r="HW28" i="11"/>
  <c r="HX28" i="11"/>
  <c r="HY28" i="11"/>
  <c r="HZ28" i="11"/>
  <c r="IA28" i="11"/>
  <c r="IB28" i="11"/>
  <c r="IC28" i="11"/>
  <c r="ID28" i="11"/>
  <c r="IE28" i="11"/>
  <c r="IF28" i="11"/>
  <c r="IG28" i="11"/>
  <c r="IH28" i="11"/>
  <c r="II28" i="11"/>
  <c r="IJ28" i="11"/>
  <c r="IK28" i="11"/>
  <c r="IL28" i="11"/>
  <c r="IM28" i="11"/>
  <c r="IN28" i="11"/>
  <c r="IO28" i="11"/>
  <c r="IP28" i="11"/>
  <c r="IQ28" i="11"/>
  <c r="IR28" i="11"/>
  <c r="IS28" i="11"/>
  <c r="IT28" i="11"/>
  <c r="IU28" i="11"/>
  <c r="IV28" i="11"/>
  <c r="A27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BB27" i="11"/>
  <c r="BC27" i="11"/>
  <c r="BD27" i="11"/>
  <c r="BE27" i="11"/>
  <c r="BF27" i="11"/>
  <c r="BG27" i="11"/>
  <c r="BH27" i="11"/>
  <c r="BI27" i="11"/>
  <c r="BJ27" i="11"/>
  <c r="BK27" i="11"/>
  <c r="BL27" i="11"/>
  <c r="BM27" i="11"/>
  <c r="BN27" i="11"/>
  <c r="BO27" i="11"/>
  <c r="BP27" i="11"/>
  <c r="BQ27" i="11"/>
  <c r="BR27" i="11"/>
  <c r="BS27" i="11"/>
  <c r="BT27" i="11"/>
  <c r="BU27" i="11"/>
  <c r="BV27" i="11"/>
  <c r="BW27" i="11"/>
  <c r="BX27" i="11"/>
  <c r="BY27" i="11"/>
  <c r="BZ27" i="11"/>
  <c r="CA27" i="11"/>
  <c r="CB27" i="11"/>
  <c r="CC27" i="11"/>
  <c r="CD27" i="11"/>
  <c r="CE27" i="11"/>
  <c r="CF27" i="11"/>
  <c r="CG27" i="11"/>
  <c r="CH27" i="11"/>
  <c r="CI27" i="11"/>
  <c r="CJ27" i="11"/>
  <c r="CK27" i="11"/>
  <c r="CL27" i="11"/>
  <c r="CM27" i="11"/>
  <c r="CN27" i="11"/>
  <c r="CO27" i="11"/>
  <c r="CP27" i="11"/>
  <c r="CQ27" i="11"/>
  <c r="CR27" i="11"/>
  <c r="CS27" i="11"/>
  <c r="CT27" i="11"/>
  <c r="CU27" i="11"/>
  <c r="CV27" i="11"/>
  <c r="CW27" i="11"/>
  <c r="CX27" i="11"/>
  <c r="CY27" i="11"/>
  <c r="CZ27" i="11"/>
  <c r="DA27" i="11"/>
  <c r="DB27" i="11"/>
  <c r="DC27" i="11"/>
  <c r="DD27" i="11"/>
  <c r="DE27" i="11"/>
  <c r="DF27" i="11"/>
  <c r="DG27" i="11"/>
  <c r="DH27" i="11"/>
  <c r="DI27" i="11"/>
  <c r="DJ27" i="11"/>
  <c r="DK27" i="11"/>
  <c r="DL27" i="11"/>
  <c r="DM27" i="11"/>
  <c r="DN27" i="11"/>
  <c r="DO27" i="11"/>
  <c r="DP27" i="11"/>
  <c r="DQ27" i="11"/>
  <c r="DR27" i="11"/>
  <c r="DS27" i="11"/>
  <c r="DT27" i="11"/>
  <c r="DU27" i="11"/>
  <c r="DV27" i="11"/>
  <c r="DW27" i="11"/>
  <c r="DX27" i="11"/>
  <c r="DY27" i="11"/>
  <c r="DZ27" i="11"/>
  <c r="EA27" i="11"/>
  <c r="EB27" i="11"/>
  <c r="EC27" i="11"/>
  <c r="ED27" i="11"/>
  <c r="EE27" i="11"/>
  <c r="EF27" i="11"/>
  <c r="EG27" i="11"/>
  <c r="EH27" i="11"/>
  <c r="EI27" i="11"/>
  <c r="EJ27" i="11"/>
  <c r="EK27" i="11"/>
  <c r="EL27" i="11"/>
  <c r="EM27" i="11"/>
  <c r="EN27" i="11"/>
  <c r="EO27" i="11"/>
  <c r="EP27" i="11"/>
  <c r="EQ27" i="11"/>
  <c r="ER27" i="11"/>
  <c r="ES27" i="11"/>
  <c r="ET27" i="11"/>
  <c r="EU27" i="11"/>
  <c r="EV27" i="11"/>
  <c r="EW27" i="11"/>
  <c r="EX27" i="11"/>
  <c r="EY27" i="11"/>
  <c r="EZ27" i="11"/>
  <c r="FA27" i="11"/>
  <c r="FB27" i="11"/>
  <c r="FC27" i="11"/>
  <c r="FD27" i="11"/>
  <c r="FE27" i="11"/>
  <c r="FF27" i="11"/>
  <c r="FG27" i="11"/>
  <c r="FH27" i="11"/>
  <c r="FI27" i="11"/>
  <c r="FJ27" i="11"/>
  <c r="FK27" i="11"/>
  <c r="FL27" i="11"/>
  <c r="FM27" i="11"/>
  <c r="FN27" i="11"/>
  <c r="FO27" i="11"/>
  <c r="FP27" i="11"/>
  <c r="FQ27" i="11"/>
  <c r="FR27" i="11"/>
  <c r="FS27" i="11"/>
  <c r="FT27" i="11"/>
  <c r="FU27" i="11"/>
  <c r="FV27" i="11"/>
  <c r="FW27" i="11"/>
  <c r="FX27" i="11"/>
  <c r="FY27" i="11"/>
  <c r="FZ27" i="11"/>
  <c r="GA27" i="11"/>
  <c r="GB27" i="11"/>
  <c r="GC27" i="11"/>
  <c r="GD27" i="11"/>
  <c r="GE27" i="11"/>
  <c r="GF27" i="11"/>
  <c r="GG27" i="11"/>
  <c r="GH27" i="11"/>
  <c r="GI27" i="11"/>
  <c r="GJ27" i="11"/>
  <c r="GK27" i="11"/>
  <c r="GL27" i="11"/>
  <c r="GM27" i="11"/>
  <c r="GN27" i="11"/>
  <c r="GO27" i="11"/>
  <c r="GP27" i="11"/>
  <c r="GQ27" i="11"/>
  <c r="GR27" i="11"/>
  <c r="GS27" i="11"/>
  <c r="GT27" i="11"/>
  <c r="GU27" i="11"/>
  <c r="GV27" i="11"/>
  <c r="GW27" i="11"/>
  <c r="GX27" i="11"/>
  <c r="GY27" i="11"/>
  <c r="GZ27" i="11"/>
  <c r="HA27" i="11"/>
  <c r="HB27" i="11"/>
  <c r="HC27" i="11"/>
  <c r="HD27" i="11"/>
  <c r="HE27" i="11"/>
  <c r="HF27" i="11"/>
  <c r="HG27" i="11"/>
  <c r="HH27" i="11"/>
  <c r="HI27" i="11"/>
  <c r="HJ27" i="11"/>
  <c r="HK27" i="11"/>
  <c r="HL27" i="11"/>
  <c r="HM27" i="11"/>
  <c r="HN27" i="11"/>
  <c r="HO27" i="11"/>
  <c r="HP27" i="11"/>
  <c r="HQ27" i="11"/>
  <c r="HR27" i="11"/>
  <c r="HS27" i="11"/>
  <c r="HT27" i="11"/>
  <c r="HU27" i="11"/>
  <c r="HV27" i="11"/>
  <c r="HW27" i="11"/>
  <c r="HX27" i="11"/>
  <c r="HY27" i="11"/>
  <c r="HZ27" i="11"/>
  <c r="IA27" i="11"/>
  <c r="IB27" i="11"/>
  <c r="IC27" i="11"/>
  <c r="ID27" i="11"/>
  <c r="IE27" i="11"/>
  <c r="IF27" i="11"/>
  <c r="IG27" i="11"/>
  <c r="IH27" i="11"/>
  <c r="II27" i="11"/>
  <c r="IJ27" i="11"/>
  <c r="IK27" i="11"/>
  <c r="IL27" i="11"/>
  <c r="IM27" i="11"/>
  <c r="IN27" i="11"/>
  <c r="IO27" i="11"/>
  <c r="IP27" i="11"/>
  <c r="IQ27" i="11"/>
  <c r="IR27" i="11"/>
  <c r="IS27" i="11"/>
  <c r="IT27" i="11"/>
  <c r="IU27" i="11"/>
  <c r="IV27" i="11"/>
  <c r="A26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BB26" i="11"/>
  <c r="BC26" i="11"/>
  <c r="BD26" i="11"/>
  <c r="BE26" i="11"/>
  <c r="BF26" i="11"/>
  <c r="BG26" i="11"/>
  <c r="BH26" i="11"/>
  <c r="BI26" i="11"/>
  <c r="BJ26" i="11"/>
  <c r="BK26" i="11"/>
  <c r="BL26" i="11"/>
  <c r="BM26" i="11"/>
  <c r="BN26" i="11"/>
  <c r="BO26" i="11"/>
  <c r="BP26" i="11"/>
  <c r="BQ26" i="11"/>
  <c r="BR26" i="11"/>
  <c r="BS26" i="11"/>
  <c r="BT26" i="11"/>
  <c r="BU26" i="11"/>
  <c r="BV26" i="11"/>
  <c r="BW26" i="11"/>
  <c r="BX26" i="11"/>
  <c r="BY26" i="11"/>
  <c r="BZ26" i="11"/>
  <c r="CA26" i="11"/>
  <c r="CB26" i="11"/>
  <c r="CC26" i="11"/>
  <c r="CD26" i="11"/>
  <c r="CE26" i="11"/>
  <c r="CF26" i="11"/>
  <c r="CG26" i="11"/>
  <c r="CH26" i="11"/>
  <c r="CI26" i="11"/>
  <c r="CJ26" i="11"/>
  <c r="CK26" i="11"/>
  <c r="CL26" i="11"/>
  <c r="CM26" i="11"/>
  <c r="CN26" i="11"/>
  <c r="CO26" i="11"/>
  <c r="CP26" i="11"/>
  <c r="CQ26" i="11"/>
  <c r="CR26" i="11"/>
  <c r="CS26" i="11"/>
  <c r="CT26" i="11"/>
  <c r="CU26" i="11"/>
  <c r="CV26" i="11"/>
  <c r="CW26" i="11"/>
  <c r="CX26" i="11"/>
  <c r="CY26" i="11"/>
  <c r="CZ26" i="11"/>
  <c r="DA26" i="11"/>
  <c r="DB26" i="11"/>
  <c r="DC26" i="11"/>
  <c r="DD26" i="11"/>
  <c r="DE26" i="11"/>
  <c r="DF26" i="11"/>
  <c r="DG26" i="11"/>
  <c r="DH26" i="11"/>
  <c r="DI26" i="11"/>
  <c r="DJ26" i="11"/>
  <c r="DK26" i="11"/>
  <c r="DL26" i="11"/>
  <c r="DM26" i="11"/>
  <c r="DN26" i="11"/>
  <c r="DO26" i="11"/>
  <c r="DP26" i="11"/>
  <c r="DQ26" i="11"/>
  <c r="DR26" i="11"/>
  <c r="DS26" i="11"/>
  <c r="DT26" i="11"/>
  <c r="DU26" i="11"/>
  <c r="DV26" i="11"/>
  <c r="DW26" i="11"/>
  <c r="DX26" i="11"/>
  <c r="DY26" i="11"/>
  <c r="DZ26" i="11"/>
  <c r="EA26" i="11"/>
  <c r="EB26" i="11"/>
  <c r="EC26" i="11"/>
  <c r="ED26" i="11"/>
  <c r="EE26" i="11"/>
  <c r="EF26" i="11"/>
  <c r="EG26" i="11"/>
  <c r="EH26" i="11"/>
  <c r="EI26" i="11"/>
  <c r="EJ26" i="11"/>
  <c r="EK26" i="11"/>
  <c r="EL26" i="11"/>
  <c r="EM26" i="11"/>
  <c r="EN26" i="11"/>
  <c r="EO26" i="11"/>
  <c r="EP26" i="11"/>
  <c r="EQ26" i="11"/>
  <c r="ER26" i="11"/>
  <c r="ES26" i="11"/>
  <c r="ET26" i="11"/>
  <c r="EU26" i="11"/>
  <c r="EV26" i="11"/>
  <c r="EW26" i="11"/>
  <c r="EX26" i="11"/>
  <c r="EY26" i="11"/>
  <c r="EZ26" i="11"/>
  <c r="FA26" i="11"/>
  <c r="FB26" i="11"/>
  <c r="FC26" i="11"/>
  <c r="FD26" i="11"/>
  <c r="FE26" i="11"/>
  <c r="FF26" i="11"/>
  <c r="FG26" i="11"/>
  <c r="FH26" i="11"/>
  <c r="FI26" i="11"/>
  <c r="FJ26" i="11"/>
  <c r="FK26" i="11"/>
  <c r="FL26" i="11"/>
  <c r="FM26" i="11"/>
  <c r="FN26" i="11"/>
  <c r="FO26" i="11"/>
  <c r="FP26" i="11"/>
  <c r="FQ26" i="11"/>
  <c r="FR26" i="11"/>
  <c r="FS26" i="11"/>
  <c r="FT26" i="11"/>
  <c r="FU26" i="11"/>
  <c r="FV26" i="11"/>
  <c r="FW26" i="11"/>
  <c r="FX26" i="11"/>
  <c r="FY26" i="11"/>
  <c r="FZ26" i="11"/>
  <c r="GA26" i="11"/>
  <c r="GB26" i="11"/>
  <c r="GC26" i="11"/>
  <c r="GD26" i="11"/>
  <c r="GE26" i="11"/>
  <c r="GF26" i="11"/>
  <c r="GG26" i="11"/>
  <c r="GH26" i="11"/>
  <c r="GI26" i="11"/>
  <c r="GJ26" i="11"/>
  <c r="GK26" i="11"/>
  <c r="GL26" i="11"/>
  <c r="GM26" i="11"/>
  <c r="GN26" i="11"/>
  <c r="GO26" i="11"/>
  <c r="GP26" i="11"/>
  <c r="GQ26" i="11"/>
  <c r="GR26" i="11"/>
  <c r="GS26" i="11"/>
  <c r="GT26" i="11"/>
  <c r="GU26" i="11"/>
  <c r="GV26" i="11"/>
  <c r="GW26" i="11"/>
  <c r="GX26" i="11"/>
  <c r="GY26" i="11"/>
  <c r="GZ26" i="11"/>
  <c r="HA26" i="11"/>
  <c r="HB26" i="11"/>
  <c r="HC26" i="11"/>
  <c r="HD26" i="11"/>
  <c r="HE26" i="11"/>
  <c r="HF26" i="11"/>
  <c r="HG26" i="11"/>
  <c r="HH26" i="11"/>
  <c r="HI26" i="11"/>
  <c r="HJ26" i="11"/>
  <c r="HK26" i="11"/>
  <c r="HL26" i="11"/>
  <c r="HM26" i="11"/>
  <c r="HN26" i="11"/>
  <c r="HO26" i="11"/>
  <c r="HP26" i="11"/>
  <c r="HQ26" i="11"/>
  <c r="HR26" i="11"/>
  <c r="HS26" i="11"/>
  <c r="HT26" i="11"/>
  <c r="HU26" i="11"/>
  <c r="HV26" i="11"/>
  <c r="HW26" i="11"/>
  <c r="HX26" i="11"/>
  <c r="HY26" i="11"/>
  <c r="HZ26" i="11"/>
  <c r="IA26" i="11"/>
  <c r="IB26" i="11"/>
  <c r="IC26" i="11"/>
  <c r="ID26" i="11"/>
  <c r="IE26" i="11"/>
  <c r="IF26" i="11"/>
  <c r="IG26" i="11"/>
  <c r="IH26" i="11"/>
  <c r="II26" i="11"/>
  <c r="IJ26" i="11"/>
  <c r="IK26" i="11"/>
  <c r="IL26" i="11"/>
  <c r="IM26" i="11"/>
  <c r="IN26" i="11"/>
  <c r="IO26" i="11"/>
  <c r="IP26" i="11"/>
  <c r="IQ26" i="11"/>
  <c r="IR26" i="11"/>
  <c r="IS26" i="11"/>
  <c r="IT26" i="11"/>
  <c r="IU26" i="11"/>
  <c r="IV26" i="11"/>
  <c r="A25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AK25" i="11"/>
  <c r="AL25" i="11"/>
  <c r="AM25" i="11"/>
  <c r="AN25" i="11"/>
  <c r="AO25" i="11"/>
  <c r="AP25" i="11"/>
  <c r="AQ25" i="11"/>
  <c r="AR25" i="11"/>
  <c r="AS25" i="11"/>
  <c r="AT25" i="11"/>
  <c r="AU25" i="11"/>
  <c r="AV25" i="11"/>
  <c r="AW25" i="11"/>
  <c r="AX25" i="11"/>
  <c r="AY25" i="11"/>
  <c r="AZ25" i="11"/>
  <c r="BA25" i="11"/>
  <c r="BB25" i="11"/>
  <c r="BC25" i="11"/>
  <c r="BD25" i="11"/>
  <c r="BE25" i="11"/>
  <c r="BF25" i="11"/>
  <c r="BG25" i="11"/>
  <c r="BH25" i="11"/>
  <c r="BI25" i="11"/>
  <c r="BJ25" i="11"/>
  <c r="BK25" i="11"/>
  <c r="BL25" i="11"/>
  <c r="BM25" i="11"/>
  <c r="BN25" i="11"/>
  <c r="BO25" i="11"/>
  <c r="BP25" i="11"/>
  <c r="BQ25" i="11"/>
  <c r="BR25" i="11"/>
  <c r="BS25" i="11"/>
  <c r="BT25" i="11"/>
  <c r="BU25" i="11"/>
  <c r="BV25" i="11"/>
  <c r="BW25" i="11"/>
  <c r="BX25" i="11"/>
  <c r="BY25" i="11"/>
  <c r="BZ25" i="11"/>
  <c r="CA25" i="11"/>
  <c r="CB25" i="11"/>
  <c r="CC25" i="11"/>
  <c r="CD25" i="11"/>
  <c r="CE25" i="11"/>
  <c r="CF25" i="11"/>
  <c r="CG25" i="11"/>
  <c r="CH25" i="11"/>
  <c r="CI25" i="11"/>
  <c r="CJ25" i="11"/>
  <c r="CK25" i="11"/>
  <c r="CL25" i="11"/>
  <c r="CM25" i="11"/>
  <c r="CN25" i="11"/>
  <c r="CO25" i="11"/>
  <c r="CP25" i="11"/>
  <c r="CQ25" i="11"/>
  <c r="CR25" i="11"/>
  <c r="CS25" i="11"/>
  <c r="CT25" i="11"/>
  <c r="CU25" i="11"/>
  <c r="CV25" i="11"/>
  <c r="CW25" i="11"/>
  <c r="CX25" i="11"/>
  <c r="CY25" i="11"/>
  <c r="CZ25" i="11"/>
  <c r="DA25" i="11"/>
  <c r="DB25" i="11"/>
  <c r="DC25" i="11"/>
  <c r="DD25" i="11"/>
  <c r="DE25" i="11"/>
  <c r="DF25" i="11"/>
  <c r="DG25" i="11"/>
  <c r="DH25" i="11"/>
  <c r="DI25" i="11"/>
  <c r="DJ25" i="11"/>
  <c r="DK25" i="11"/>
  <c r="DL25" i="11"/>
  <c r="DM25" i="11"/>
  <c r="DN25" i="11"/>
  <c r="DO25" i="11"/>
  <c r="DP25" i="11"/>
  <c r="DQ25" i="11"/>
  <c r="DR25" i="11"/>
  <c r="DS25" i="11"/>
  <c r="DT25" i="11"/>
  <c r="DU25" i="11"/>
  <c r="DV25" i="11"/>
  <c r="DW25" i="11"/>
  <c r="DX25" i="11"/>
  <c r="DY25" i="11"/>
  <c r="DZ25" i="11"/>
  <c r="EA25" i="11"/>
  <c r="EB25" i="11"/>
  <c r="EC25" i="11"/>
  <c r="ED25" i="11"/>
  <c r="EE25" i="11"/>
  <c r="EF25" i="11"/>
  <c r="EG25" i="11"/>
  <c r="EH25" i="11"/>
  <c r="EI25" i="11"/>
  <c r="EJ25" i="11"/>
  <c r="EK25" i="11"/>
  <c r="EL25" i="11"/>
  <c r="EM25" i="11"/>
  <c r="EN25" i="11"/>
  <c r="EO25" i="11"/>
  <c r="EP25" i="11"/>
  <c r="EQ25" i="11"/>
  <c r="ER25" i="11"/>
  <c r="ES25" i="11"/>
  <c r="ET25" i="11"/>
  <c r="EU25" i="11"/>
  <c r="EV25" i="11"/>
  <c r="EW25" i="11"/>
  <c r="EX25" i="11"/>
  <c r="EY25" i="11"/>
  <c r="EZ25" i="11"/>
  <c r="FA25" i="11"/>
  <c r="FB25" i="11"/>
  <c r="FC25" i="11"/>
  <c r="FD25" i="11"/>
  <c r="FE25" i="11"/>
  <c r="FF25" i="11"/>
  <c r="FG25" i="11"/>
  <c r="FH25" i="11"/>
  <c r="FI25" i="11"/>
  <c r="FJ25" i="11"/>
  <c r="FK25" i="11"/>
  <c r="FL25" i="11"/>
  <c r="FM25" i="11"/>
  <c r="FN25" i="11"/>
  <c r="FO25" i="11"/>
  <c r="FP25" i="11"/>
  <c r="FQ25" i="11"/>
  <c r="FR25" i="11"/>
  <c r="FS25" i="11"/>
  <c r="FT25" i="11"/>
  <c r="FU25" i="11"/>
  <c r="FV25" i="11"/>
  <c r="FW25" i="11"/>
  <c r="FX25" i="11"/>
  <c r="FY25" i="11"/>
  <c r="FZ25" i="11"/>
  <c r="GA25" i="11"/>
  <c r="GB25" i="11"/>
  <c r="GC25" i="11"/>
  <c r="GD25" i="11"/>
  <c r="GE25" i="11"/>
  <c r="GF25" i="11"/>
  <c r="GG25" i="11"/>
  <c r="GH25" i="11"/>
  <c r="GI25" i="11"/>
  <c r="GJ25" i="11"/>
  <c r="GK25" i="11"/>
  <c r="GL25" i="11"/>
  <c r="GM25" i="11"/>
  <c r="GN25" i="11"/>
  <c r="GO25" i="11"/>
  <c r="GP25" i="11"/>
  <c r="GQ25" i="11"/>
  <c r="GR25" i="11"/>
  <c r="GS25" i="11"/>
  <c r="GT25" i="11"/>
  <c r="GU25" i="11"/>
  <c r="GV25" i="11"/>
  <c r="GW25" i="11"/>
  <c r="GX25" i="11"/>
  <c r="GY25" i="11"/>
  <c r="GZ25" i="11"/>
  <c r="HA25" i="11"/>
  <c r="HB25" i="11"/>
  <c r="HC25" i="11"/>
  <c r="HD25" i="11"/>
  <c r="HE25" i="11"/>
  <c r="HF25" i="11"/>
  <c r="HG25" i="11"/>
  <c r="HH25" i="11"/>
  <c r="HI25" i="11"/>
  <c r="HJ25" i="11"/>
  <c r="HK25" i="11"/>
  <c r="HL25" i="11"/>
  <c r="HM25" i="11"/>
  <c r="HN25" i="11"/>
  <c r="HO25" i="11"/>
  <c r="HP25" i="11"/>
  <c r="HQ25" i="11"/>
  <c r="HR25" i="11"/>
  <c r="HS25" i="11"/>
  <c r="HT25" i="11"/>
  <c r="HU25" i="11"/>
  <c r="HV25" i="11"/>
  <c r="HW25" i="11"/>
  <c r="HX25" i="11"/>
  <c r="HY25" i="11"/>
  <c r="HZ25" i="11"/>
  <c r="IA25" i="11"/>
  <c r="IB25" i="11"/>
  <c r="IC25" i="11"/>
  <c r="ID25" i="11"/>
  <c r="IE25" i="11"/>
  <c r="IF25" i="11"/>
  <c r="IG25" i="11"/>
  <c r="IH25" i="11"/>
  <c r="II25" i="11"/>
  <c r="IJ25" i="11"/>
  <c r="IK25" i="11"/>
  <c r="IL25" i="11"/>
  <c r="IM25" i="11"/>
  <c r="IN25" i="11"/>
  <c r="IO25" i="11"/>
  <c r="IP25" i="11"/>
  <c r="IQ25" i="11"/>
  <c r="IR25" i="11"/>
  <c r="IS25" i="11"/>
  <c r="IT25" i="11"/>
  <c r="IU25" i="11"/>
  <c r="IV25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BP24" i="11"/>
  <c r="BQ24" i="11"/>
  <c r="BR24" i="11"/>
  <c r="BS24" i="11"/>
  <c r="BT24" i="11"/>
  <c r="BU24" i="11"/>
  <c r="BV24" i="11"/>
  <c r="BW24" i="11"/>
  <c r="BX24" i="11"/>
  <c r="BY24" i="11"/>
  <c r="BZ24" i="11"/>
  <c r="CA24" i="11"/>
  <c r="CB24" i="11"/>
  <c r="CC24" i="11"/>
  <c r="CD24" i="11"/>
  <c r="CE24" i="11"/>
  <c r="CF24" i="11"/>
  <c r="CG24" i="11"/>
  <c r="CH24" i="11"/>
  <c r="CI24" i="11"/>
  <c r="CJ24" i="11"/>
  <c r="CK24" i="11"/>
  <c r="CL24" i="11"/>
  <c r="CM24" i="11"/>
  <c r="CN24" i="11"/>
  <c r="CO24" i="11"/>
  <c r="CP24" i="11"/>
  <c r="CQ24" i="11"/>
  <c r="CR24" i="11"/>
  <c r="CS24" i="11"/>
  <c r="CT24" i="11"/>
  <c r="CU24" i="11"/>
  <c r="CV24" i="11"/>
  <c r="CW24" i="11"/>
  <c r="CX24" i="11"/>
  <c r="CY24" i="11"/>
  <c r="CZ24" i="11"/>
  <c r="DA24" i="11"/>
  <c r="DB24" i="11"/>
  <c r="DC24" i="11"/>
  <c r="DD24" i="11"/>
  <c r="DE24" i="11"/>
  <c r="DF24" i="11"/>
  <c r="DG24" i="11"/>
  <c r="DH24" i="11"/>
  <c r="DI24" i="11"/>
  <c r="DJ24" i="11"/>
  <c r="DK24" i="11"/>
  <c r="DL24" i="11"/>
  <c r="DM24" i="11"/>
  <c r="DN24" i="11"/>
  <c r="DO24" i="11"/>
  <c r="DP24" i="11"/>
  <c r="DQ24" i="11"/>
  <c r="DR24" i="11"/>
  <c r="DS24" i="11"/>
  <c r="DT24" i="11"/>
  <c r="DU24" i="11"/>
  <c r="DV24" i="11"/>
  <c r="DW24" i="11"/>
  <c r="DX24" i="11"/>
  <c r="DY24" i="11"/>
  <c r="DZ24" i="11"/>
  <c r="EA24" i="11"/>
  <c r="EB24" i="11"/>
  <c r="EC24" i="11"/>
  <c r="ED24" i="11"/>
  <c r="EE24" i="11"/>
  <c r="EF24" i="11"/>
  <c r="EG24" i="11"/>
  <c r="EH24" i="11"/>
  <c r="EI24" i="11"/>
  <c r="EJ24" i="11"/>
  <c r="EK24" i="11"/>
  <c r="EL24" i="11"/>
  <c r="EM24" i="11"/>
  <c r="EN24" i="11"/>
  <c r="EO24" i="11"/>
  <c r="EP24" i="11"/>
  <c r="EQ24" i="11"/>
  <c r="ER24" i="11"/>
  <c r="ES24" i="11"/>
  <c r="ET24" i="11"/>
  <c r="EU24" i="11"/>
  <c r="EV24" i="11"/>
  <c r="EW24" i="11"/>
  <c r="EX24" i="11"/>
  <c r="EY24" i="11"/>
  <c r="EZ24" i="11"/>
  <c r="FA24" i="11"/>
  <c r="FB24" i="11"/>
  <c r="FC24" i="11"/>
  <c r="FD24" i="11"/>
  <c r="FE24" i="11"/>
  <c r="FF24" i="11"/>
  <c r="FG24" i="11"/>
  <c r="FH24" i="11"/>
  <c r="FI24" i="11"/>
  <c r="FJ24" i="11"/>
  <c r="FK24" i="11"/>
  <c r="FL24" i="11"/>
  <c r="FM24" i="11"/>
  <c r="FN24" i="11"/>
  <c r="FO24" i="11"/>
  <c r="FP24" i="11"/>
  <c r="FQ24" i="11"/>
  <c r="FR24" i="11"/>
  <c r="FS24" i="11"/>
  <c r="FT24" i="11"/>
  <c r="FU24" i="11"/>
  <c r="FV24" i="11"/>
  <c r="FW24" i="11"/>
  <c r="FX24" i="11"/>
  <c r="FY24" i="11"/>
  <c r="FZ24" i="11"/>
  <c r="GA24" i="11"/>
  <c r="GB24" i="11"/>
  <c r="GC24" i="11"/>
  <c r="GD24" i="11"/>
  <c r="GE24" i="11"/>
  <c r="GF24" i="11"/>
  <c r="GG24" i="11"/>
  <c r="GH24" i="11"/>
  <c r="GI24" i="11"/>
  <c r="GJ24" i="11"/>
  <c r="GK24" i="11"/>
  <c r="GL24" i="11"/>
  <c r="GM24" i="11"/>
  <c r="GN24" i="11"/>
  <c r="GO24" i="11"/>
  <c r="GP24" i="11"/>
  <c r="GQ24" i="11"/>
  <c r="GR24" i="11"/>
  <c r="GS24" i="11"/>
  <c r="GT24" i="11"/>
  <c r="GU24" i="11"/>
  <c r="GV24" i="11"/>
  <c r="GW24" i="11"/>
  <c r="GX24" i="11"/>
  <c r="GY24" i="11"/>
  <c r="GZ24" i="11"/>
  <c r="HA24" i="11"/>
  <c r="HB24" i="11"/>
  <c r="HC24" i="11"/>
  <c r="HD24" i="11"/>
  <c r="HE24" i="11"/>
  <c r="HF24" i="11"/>
  <c r="HG24" i="11"/>
  <c r="HH24" i="11"/>
  <c r="HI24" i="11"/>
  <c r="HJ24" i="11"/>
  <c r="HK24" i="11"/>
  <c r="HL24" i="11"/>
  <c r="HM24" i="11"/>
  <c r="HN24" i="11"/>
  <c r="HO24" i="11"/>
  <c r="HP24" i="11"/>
  <c r="HQ24" i="11"/>
  <c r="HR24" i="11"/>
  <c r="HS24" i="11"/>
  <c r="HT24" i="11"/>
  <c r="HU24" i="11"/>
  <c r="HV24" i="11"/>
  <c r="HW24" i="11"/>
  <c r="HX24" i="11"/>
  <c r="HY24" i="11"/>
  <c r="HZ24" i="11"/>
  <c r="IA24" i="11"/>
  <c r="IB24" i="11"/>
  <c r="IC24" i="11"/>
  <c r="ID24" i="11"/>
  <c r="IE24" i="11"/>
  <c r="IF24" i="11"/>
  <c r="IG24" i="11"/>
  <c r="IH24" i="11"/>
  <c r="II24" i="11"/>
  <c r="IJ24" i="11"/>
  <c r="IK24" i="11"/>
  <c r="IL24" i="11"/>
  <c r="IM24" i="11"/>
  <c r="IN24" i="11"/>
  <c r="IO24" i="11"/>
  <c r="IP24" i="11"/>
  <c r="IQ24" i="11"/>
  <c r="IR24" i="11"/>
  <c r="IS24" i="11"/>
  <c r="IT24" i="11"/>
  <c r="IU24" i="11"/>
  <c r="IV24" i="11"/>
  <c r="A23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A23" i="11"/>
  <c r="BB23" i="11"/>
  <c r="BC23" i="11"/>
  <c r="BD23" i="11"/>
  <c r="BE23" i="11"/>
  <c r="BF23" i="11"/>
  <c r="BG23" i="11"/>
  <c r="BH23" i="11"/>
  <c r="BI23" i="11"/>
  <c r="BJ23" i="11"/>
  <c r="BK23" i="11"/>
  <c r="BL23" i="11"/>
  <c r="BM23" i="11"/>
  <c r="BN23" i="11"/>
  <c r="BO23" i="11"/>
  <c r="BP23" i="11"/>
  <c r="BQ23" i="11"/>
  <c r="BR23" i="11"/>
  <c r="BS23" i="11"/>
  <c r="BT23" i="11"/>
  <c r="BU23" i="11"/>
  <c r="BV23" i="11"/>
  <c r="BW23" i="11"/>
  <c r="BX23" i="11"/>
  <c r="BY23" i="11"/>
  <c r="BZ23" i="11"/>
  <c r="CA23" i="11"/>
  <c r="CB23" i="11"/>
  <c r="CC23" i="11"/>
  <c r="CD23" i="11"/>
  <c r="CE23" i="11"/>
  <c r="CF23" i="11"/>
  <c r="CG23" i="11"/>
  <c r="CH23" i="11"/>
  <c r="CI23" i="11"/>
  <c r="CJ23" i="11"/>
  <c r="CK23" i="11"/>
  <c r="CL23" i="11"/>
  <c r="CM23" i="11"/>
  <c r="CN23" i="11"/>
  <c r="CO23" i="11"/>
  <c r="CP23" i="11"/>
  <c r="CQ23" i="11"/>
  <c r="CR23" i="11"/>
  <c r="CS23" i="11"/>
  <c r="CT23" i="11"/>
  <c r="CU23" i="11"/>
  <c r="CV23" i="11"/>
  <c r="CW23" i="11"/>
  <c r="CX23" i="11"/>
  <c r="CY23" i="11"/>
  <c r="CZ23" i="11"/>
  <c r="DA23" i="11"/>
  <c r="DB23" i="11"/>
  <c r="DC23" i="11"/>
  <c r="DD23" i="11"/>
  <c r="DE23" i="11"/>
  <c r="DF23" i="11"/>
  <c r="DG23" i="11"/>
  <c r="DH23" i="11"/>
  <c r="DI23" i="11"/>
  <c r="DJ23" i="11"/>
  <c r="DK23" i="11"/>
  <c r="DL23" i="11"/>
  <c r="DM23" i="11"/>
  <c r="DN23" i="11"/>
  <c r="DO23" i="11"/>
  <c r="DP23" i="11"/>
  <c r="DQ23" i="11"/>
  <c r="DR23" i="11"/>
  <c r="DS23" i="11"/>
  <c r="DT23" i="11"/>
  <c r="DU23" i="11"/>
  <c r="DV23" i="11"/>
  <c r="DW23" i="11"/>
  <c r="DX23" i="11"/>
  <c r="DY23" i="11"/>
  <c r="DZ23" i="11"/>
  <c r="EA23" i="11"/>
  <c r="EB23" i="11"/>
  <c r="EC23" i="11"/>
  <c r="ED23" i="11"/>
  <c r="EE23" i="11"/>
  <c r="EF23" i="11"/>
  <c r="EG23" i="11"/>
  <c r="EH23" i="11"/>
  <c r="EI23" i="11"/>
  <c r="EJ23" i="11"/>
  <c r="EK23" i="11"/>
  <c r="EL23" i="11"/>
  <c r="EM23" i="11"/>
  <c r="EN23" i="11"/>
  <c r="EO23" i="11"/>
  <c r="EP23" i="11"/>
  <c r="EQ23" i="11"/>
  <c r="ER23" i="11"/>
  <c r="ES23" i="11"/>
  <c r="ET23" i="11"/>
  <c r="EU23" i="11"/>
  <c r="EV23" i="11"/>
  <c r="EW23" i="11"/>
  <c r="EX23" i="11"/>
  <c r="EY23" i="11"/>
  <c r="EZ23" i="11"/>
  <c r="FA23" i="11"/>
  <c r="FB23" i="11"/>
  <c r="FC23" i="11"/>
  <c r="FD23" i="11"/>
  <c r="FE23" i="11"/>
  <c r="FF23" i="11"/>
  <c r="FG23" i="11"/>
  <c r="FH23" i="11"/>
  <c r="FI23" i="11"/>
  <c r="FJ23" i="11"/>
  <c r="FK23" i="11"/>
  <c r="FL23" i="11"/>
  <c r="FM23" i="11"/>
  <c r="FN23" i="11"/>
  <c r="FO23" i="11"/>
  <c r="FP23" i="11"/>
  <c r="FQ23" i="11"/>
  <c r="FR23" i="11"/>
  <c r="FS23" i="11"/>
  <c r="FT23" i="11"/>
  <c r="FU23" i="11"/>
  <c r="FV23" i="11"/>
  <c r="FW23" i="11"/>
  <c r="FX23" i="11"/>
  <c r="FY23" i="11"/>
  <c r="FZ23" i="11"/>
  <c r="GA23" i="11"/>
  <c r="GB23" i="11"/>
  <c r="GC23" i="11"/>
  <c r="GD23" i="11"/>
  <c r="GE23" i="11"/>
  <c r="GF23" i="11"/>
  <c r="GG23" i="11"/>
  <c r="GH23" i="11"/>
  <c r="GI23" i="11"/>
  <c r="GJ23" i="11"/>
  <c r="GK23" i="11"/>
  <c r="GL23" i="11"/>
  <c r="GM23" i="11"/>
  <c r="GN23" i="11"/>
  <c r="GO23" i="11"/>
  <c r="GP23" i="11"/>
  <c r="GQ23" i="11"/>
  <c r="GR23" i="11"/>
  <c r="GS23" i="11"/>
  <c r="GT23" i="11"/>
  <c r="GU23" i="11"/>
  <c r="GV23" i="11"/>
  <c r="GW23" i="11"/>
  <c r="GX23" i="11"/>
  <c r="GY23" i="11"/>
  <c r="GZ23" i="11"/>
  <c r="HA23" i="11"/>
  <c r="HB23" i="11"/>
  <c r="HC23" i="11"/>
  <c r="HD23" i="11"/>
  <c r="HE23" i="11"/>
  <c r="HF23" i="11"/>
  <c r="HG23" i="11"/>
  <c r="HH23" i="11"/>
  <c r="HI23" i="11"/>
  <c r="HJ23" i="11"/>
  <c r="HK23" i="11"/>
  <c r="HL23" i="11"/>
  <c r="HM23" i="11"/>
  <c r="HN23" i="11"/>
  <c r="HO23" i="11"/>
  <c r="HP23" i="11"/>
  <c r="HQ23" i="11"/>
  <c r="HR23" i="11"/>
  <c r="HS23" i="11"/>
  <c r="HT23" i="11"/>
  <c r="HU23" i="11"/>
  <c r="HV23" i="11"/>
  <c r="HW23" i="11"/>
  <c r="HX23" i="11"/>
  <c r="HY23" i="11"/>
  <c r="HZ23" i="11"/>
  <c r="IA23" i="11"/>
  <c r="IB23" i="11"/>
  <c r="IC23" i="11"/>
  <c r="ID23" i="11"/>
  <c r="IE23" i="11"/>
  <c r="IF23" i="11"/>
  <c r="IG23" i="11"/>
  <c r="IH23" i="11"/>
  <c r="II23" i="11"/>
  <c r="IJ23" i="11"/>
  <c r="IK23" i="11"/>
  <c r="IL23" i="11"/>
  <c r="IM23" i="11"/>
  <c r="IN23" i="11"/>
  <c r="IO23" i="11"/>
  <c r="IP23" i="11"/>
  <c r="IQ23" i="11"/>
  <c r="IR23" i="11"/>
  <c r="IS23" i="11"/>
  <c r="IT23" i="11"/>
  <c r="IU23" i="11"/>
  <c r="IV23" i="11"/>
  <c r="A22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A22" i="11"/>
  <c r="BB22" i="11"/>
  <c r="BC22" i="11"/>
  <c r="BD22" i="11"/>
  <c r="BE22" i="11"/>
  <c r="BF22" i="11"/>
  <c r="BG22" i="11"/>
  <c r="BH22" i="11"/>
  <c r="BI22" i="11"/>
  <c r="BJ22" i="11"/>
  <c r="BK22" i="11"/>
  <c r="BL22" i="11"/>
  <c r="BM22" i="11"/>
  <c r="BN22" i="11"/>
  <c r="BO22" i="11"/>
  <c r="BP22" i="11"/>
  <c r="BQ22" i="11"/>
  <c r="BR22" i="11"/>
  <c r="BS22" i="11"/>
  <c r="BT22" i="11"/>
  <c r="BU22" i="11"/>
  <c r="BV22" i="11"/>
  <c r="BW22" i="11"/>
  <c r="BX22" i="11"/>
  <c r="BY22" i="11"/>
  <c r="BZ22" i="11"/>
  <c r="CA22" i="11"/>
  <c r="CB22" i="11"/>
  <c r="CC22" i="11"/>
  <c r="CD22" i="11"/>
  <c r="CE22" i="11"/>
  <c r="CF22" i="11"/>
  <c r="CG22" i="11"/>
  <c r="CH22" i="11"/>
  <c r="CI22" i="11"/>
  <c r="CJ22" i="11"/>
  <c r="CK22" i="11"/>
  <c r="CL22" i="11"/>
  <c r="CM22" i="11"/>
  <c r="CN22" i="11"/>
  <c r="CO22" i="11"/>
  <c r="CP22" i="11"/>
  <c r="CQ22" i="11"/>
  <c r="CR22" i="11"/>
  <c r="CS22" i="11"/>
  <c r="CT22" i="11"/>
  <c r="CU22" i="11"/>
  <c r="CV22" i="11"/>
  <c r="CW22" i="11"/>
  <c r="CX22" i="11"/>
  <c r="CY22" i="11"/>
  <c r="CZ22" i="11"/>
  <c r="DA22" i="11"/>
  <c r="DB22" i="11"/>
  <c r="DC22" i="11"/>
  <c r="DD22" i="11"/>
  <c r="DE22" i="11"/>
  <c r="DF22" i="11"/>
  <c r="DG22" i="11"/>
  <c r="DH22" i="11"/>
  <c r="DI22" i="11"/>
  <c r="DJ22" i="11"/>
  <c r="DK22" i="11"/>
  <c r="DL22" i="11"/>
  <c r="DM22" i="11"/>
  <c r="DN22" i="11"/>
  <c r="DO22" i="11"/>
  <c r="DP22" i="11"/>
  <c r="DQ22" i="11"/>
  <c r="DR22" i="11"/>
  <c r="DS22" i="11"/>
  <c r="DT22" i="11"/>
  <c r="DU22" i="11"/>
  <c r="DV22" i="11"/>
  <c r="DW22" i="11"/>
  <c r="DX22" i="11"/>
  <c r="DY22" i="11"/>
  <c r="DZ22" i="11"/>
  <c r="EA22" i="11"/>
  <c r="EB22" i="11"/>
  <c r="EC22" i="11"/>
  <c r="ED22" i="11"/>
  <c r="EE22" i="11"/>
  <c r="EF22" i="11"/>
  <c r="EG22" i="11"/>
  <c r="EH22" i="11"/>
  <c r="EI22" i="11"/>
  <c r="EJ22" i="11"/>
  <c r="EK22" i="11"/>
  <c r="EL22" i="11"/>
  <c r="EM22" i="11"/>
  <c r="EN22" i="11"/>
  <c r="EO22" i="11"/>
  <c r="EP22" i="11"/>
  <c r="EQ22" i="11"/>
  <c r="ER22" i="11"/>
  <c r="ES22" i="11"/>
  <c r="ET22" i="11"/>
  <c r="EU22" i="11"/>
  <c r="EV22" i="11"/>
  <c r="EW22" i="11"/>
  <c r="EX22" i="11"/>
  <c r="EY22" i="11"/>
  <c r="EZ22" i="11"/>
  <c r="FA22" i="11"/>
  <c r="FB22" i="11"/>
  <c r="FC22" i="11"/>
  <c r="FD22" i="11"/>
  <c r="FE22" i="11"/>
  <c r="FF22" i="11"/>
  <c r="FG22" i="11"/>
  <c r="FH22" i="11"/>
  <c r="FI22" i="11"/>
  <c r="FJ22" i="11"/>
  <c r="FK22" i="11"/>
  <c r="FL22" i="11"/>
  <c r="FM22" i="11"/>
  <c r="FN22" i="11"/>
  <c r="FO22" i="11"/>
  <c r="FP22" i="11"/>
  <c r="FQ22" i="11"/>
  <c r="FR22" i="11"/>
  <c r="FS22" i="11"/>
  <c r="FT22" i="11"/>
  <c r="FU22" i="11"/>
  <c r="FV22" i="11"/>
  <c r="FW22" i="11"/>
  <c r="FX22" i="11"/>
  <c r="FY22" i="11"/>
  <c r="FZ22" i="11"/>
  <c r="GA22" i="11"/>
  <c r="GB22" i="11"/>
  <c r="GC22" i="11"/>
  <c r="GD22" i="11"/>
  <c r="GE22" i="11"/>
  <c r="GF22" i="11"/>
  <c r="GG22" i="11"/>
  <c r="GH22" i="11"/>
  <c r="GI22" i="11"/>
  <c r="GJ22" i="11"/>
  <c r="GK22" i="11"/>
  <c r="GL22" i="11"/>
  <c r="GM22" i="11"/>
  <c r="GN22" i="11"/>
  <c r="GO22" i="11"/>
  <c r="GP22" i="11"/>
  <c r="GQ22" i="11"/>
  <c r="GR22" i="11"/>
  <c r="GS22" i="11"/>
  <c r="GT22" i="11"/>
  <c r="GU22" i="11"/>
  <c r="GV22" i="11"/>
  <c r="GW22" i="11"/>
  <c r="GX22" i="11"/>
  <c r="GY22" i="11"/>
  <c r="GZ22" i="11"/>
  <c r="HA22" i="11"/>
  <c r="HB22" i="11"/>
  <c r="HC22" i="11"/>
  <c r="HD22" i="11"/>
  <c r="HE22" i="11"/>
  <c r="HF22" i="11"/>
  <c r="HG22" i="11"/>
  <c r="HH22" i="11"/>
  <c r="HI22" i="11"/>
  <c r="HJ22" i="11"/>
  <c r="HK22" i="11"/>
  <c r="HL22" i="11"/>
  <c r="HM22" i="11"/>
  <c r="HN22" i="11"/>
  <c r="HO22" i="11"/>
  <c r="HP22" i="11"/>
  <c r="HQ22" i="11"/>
  <c r="HR22" i="11"/>
  <c r="HS22" i="11"/>
  <c r="HT22" i="11"/>
  <c r="HU22" i="11"/>
  <c r="HV22" i="11"/>
  <c r="HW22" i="11"/>
  <c r="HX22" i="11"/>
  <c r="HY22" i="11"/>
  <c r="HZ22" i="11"/>
  <c r="IA22" i="11"/>
  <c r="IB22" i="11"/>
  <c r="IC22" i="11"/>
  <c r="ID22" i="11"/>
  <c r="IE22" i="11"/>
  <c r="IF22" i="11"/>
  <c r="IG22" i="11"/>
  <c r="IH22" i="11"/>
  <c r="II22" i="11"/>
  <c r="IJ22" i="11"/>
  <c r="IK22" i="11"/>
  <c r="IL22" i="11"/>
  <c r="IM22" i="11"/>
  <c r="IN22" i="11"/>
  <c r="IO22" i="11"/>
  <c r="IP22" i="11"/>
  <c r="IQ22" i="11"/>
  <c r="IR22" i="11"/>
  <c r="IS22" i="11"/>
  <c r="IT22" i="11"/>
  <c r="IU22" i="11"/>
  <c r="IV22" i="11"/>
  <c r="A21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BT21" i="11"/>
  <c r="BU21" i="11"/>
  <c r="BV21" i="11"/>
  <c r="BW21" i="11"/>
  <c r="BX21" i="11"/>
  <c r="BY21" i="11"/>
  <c r="BZ21" i="11"/>
  <c r="CA21" i="11"/>
  <c r="CB21" i="11"/>
  <c r="CC21" i="11"/>
  <c r="CD21" i="11"/>
  <c r="CE21" i="11"/>
  <c r="CF21" i="11"/>
  <c r="CG21" i="11"/>
  <c r="CH21" i="11"/>
  <c r="CI21" i="11"/>
  <c r="CJ21" i="11"/>
  <c r="CK21" i="11"/>
  <c r="CL21" i="11"/>
  <c r="CM21" i="11"/>
  <c r="CN21" i="11"/>
  <c r="CO21" i="11"/>
  <c r="CP21" i="11"/>
  <c r="CQ21" i="11"/>
  <c r="CR21" i="11"/>
  <c r="CS21" i="11"/>
  <c r="CT21" i="11"/>
  <c r="CU21" i="11"/>
  <c r="CV21" i="11"/>
  <c r="CW21" i="11"/>
  <c r="CX21" i="11"/>
  <c r="CY21" i="11"/>
  <c r="CZ21" i="11"/>
  <c r="DA21" i="11"/>
  <c r="DB21" i="11"/>
  <c r="DC21" i="11"/>
  <c r="DD21" i="11"/>
  <c r="DE21" i="11"/>
  <c r="DF21" i="11"/>
  <c r="DG21" i="11"/>
  <c r="DH21" i="11"/>
  <c r="DI21" i="11"/>
  <c r="DJ21" i="11"/>
  <c r="DK21" i="11"/>
  <c r="DL21" i="11"/>
  <c r="DM21" i="11"/>
  <c r="DN21" i="11"/>
  <c r="DO21" i="11"/>
  <c r="DP21" i="11"/>
  <c r="DQ21" i="11"/>
  <c r="DR21" i="11"/>
  <c r="DS21" i="11"/>
  <c r="DT21" i="11"/>
  <c r="DU21" i="11"/>
  <c r="DV21" i="11"/>
  <c r="DW21" i="11"/>
  <c r="DX21" i="11"/>
  <c r="DY21" i="11"/>
  <c r="DZ21" i="11"/>
  <c r="EA21" i="11"/>
  <c r="EB21" i="11"/>
  <c r="EC21" i="11"/>
  <c r="ED21" i="11"/>
  <c r="EE21" i="11"/>
  <c r="EF21" i="11"/>
  <c r="EG21" i="11"/>
  <c r="EH21" i="11"/>
  <c r="EI21" i="11"/>
  <c r="EJ21" i="11"/>
  <c r="EK21" i="11"/>
  <c r="EL21" i="11"/>
  <c r="EM21" i="11"/>
  <c r="EN21" i="11"/>
  <c r="EO21" i="11"/>
  <c r="EP21" i="11"/>
  <c r="EQ21" i="11"/>
  <c r="ER21" i="11"/>
  <c r="ES21" i="11"/>
  <c r="ET21" i="11"/>
  <c r="EU21" i="11"/>
  <c r="EV21" i="11"/>
  <c r="EW21" i="11"/>
  <c r="EX21" i="11"/>
  <c r="EY21" i="11"/>
  <c r="EZ21" i="11"/>
  <c r="FA21" i="11"/>
  <c r="FB21" i="11"/>
  <c r="FC21" i="11"/>
  <c r="FD21" i="11"/>
  <c r="FE21" i="11"/>
  <c r="FF21" i="11"/>
  <c r="FG21" i="11"/>
  <c r="FH21" i="11"/>
  <c r="FI21" i="11"/>
  <c r="FJ21" i="11"/>
  <c r="FK21" i="11"/>
  <c r="FL21" i="11"/>
  <c r="FM21" i="11"/>
  <c r="FN21" i="11"/>
  <c r="FO21" i="11"/>
  <c r="FP21" i="11"/>
  <c r="FQ21" i="11"/>
  <c r="FR21" i="11"/>
  <c r="FS21" i="11"/>
  <c r="FT21" i="11"/>
  <c r="FU21" i="11"/>
  <c r="FV21" i="11"/>
  <c r="FW21" i="11"/>
  <c r="FX21" i="11"/>
  <c r="FY21" i="11"/>
  <c r="FZ21" i="11"/>
  <c r="GA21" i="11"/>
  <c r="GB21" i="11"/>
  <c r="GC21" i="11"/>
  <c r="GD21" i="11"/>
  <c r="GE21" i="11"/>
  <c r="GF21" i="11"/>
  <c r="GG21" i="11"/>
  <c r="GH21" i="11"/>
  <c r="GI21" i="11"/>
  <c r="GJ21" i="11"/>
  <c r="GK21" i="11"/>
  <c r="GL21" i="11"/>
  <c r="GM21" i="11"/>
  <c r="GN21" i="11"/>
  <c r="GO21" i="11"/>
  <c r="GP21" i="11"/>
  <c r="GQ21" i="11"/>
  <c r="GR21" i="11"/>
  <c r="GS21" i="11"/>
  <c r="GT21" i="11"/>
  <c r="GU21" i="11"/>
  <c r="GV21" i="11"/>
  <c r="GW21" i="11"/>
  <c r="GX21" i="11"/>
  <c r="GY21" i="11"/>
  <c r="GZ21" i="11"/>
  <c r="HA21" i="11"/>
  <c r="HB21" i="11"/>
  <c r="HC21" i="11"/>
  <c r="HD21" i="11"/>
  <c r="HE21" i="11"/>
  <c r="HF21" i="11"/>
  <c r="HG21" i="11"/>
  <c r="HH21" i="11"/>
  <c r="HI21" i="11"/>
  <c r="HJ21" i="11"/>
  <c r="HK21" i="11"/>
  <c r="HL21" i="11"/>
  <c r="HM21" i="11"/>
  <c r="HN21" i="11"/>
  <c r="HO21" i="11"/>
  <c r="HP21" i="11"/>
  <c r="HQ21" i="11"/>
  <c r="HR21" i="11"/>
  <c r="HS21" i="11"/>
  <c r="HT21" i="11"/>
  <c r="HU21" i="11"/>
  <c r="HV21" i="11"/>
  <c r="HW21" i="11"/>
  <c r="HX21" i="11"/>
  <c r="HY21" i="11"/>
  <c r="HZ21" i="11"/>
  <c r="IA21" i="11"/>
  <c r="IB21" i="11"/>
  <c r="IC21" i="11"/>
  <c r="ID21" i="11"/>
  <c r="IE21" i="11"/>
  <c r="IF21" i="11"/>
  <c r="IG21" i="11"/>
  <c r="IH21" i="11"/>
  <c r="II21" i="11"/>
  <c r="IJ21" i="11"/>
  <c r="IK21" i="11"/>
  <c r="IL21" i="11"/>
  <c r="IM21" i="11"/>
  <c r="IN21" i="11"/>
  <c r="IO21" i="11"/>
  <c r="IP21" i="11"/>
  <c r="IQ21" i="11"/>
  <c r="IR21" i="11"/>
  <c r="IS21" i="11"/>
  <c r="IT21" i="11"/>
  <c r="IU21" i="11"/>
  <c r="IV21" i="11"/>
  <c r="A20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BB20" i="11"/>
  <c r="BC20" i="11"/>
  <c r="BD20" i="11"/>
  <c r="BE20" i="11"/>
  <c r="BF20" i="11"/>
  <c r="BG20" i="11"/>
  <c r="BH20" i="11"/>
  <c r="BI20" i="11"/>
  <c r="BJ20" i="11"/>
  <c r="BK20" i="11"/>
  <c r="BL20" i="11"/>
  <c r="BM20" i="11"/>
  <c r="BN20" i="11"/>
  <c r="BO20" i="11"/>
  <c r="BP20" i="11"/>
  <c r="BQ20" i="11"/>
  <c r="BR20" i="11"/>
  <c r="BS20" i="11"/>
  <c r="BT20" i="11"/>
  <c r="BU20" i="11"/>
  <c r="BV20" i="11"/>
  <c r="BW20" i="11"/>
  <c r="BX20" i="11"/>
  <c r="BY20" i="11"/>
  <c r="BZ20" i="11"/>
  <c r="CA20" i="11"/>
  <c r="CB20" i="11"/>
  <c r="CC20" i="11"/>
  <c r="CD20" i="11"/>
  <c r="CE20" i="11"/>
  <c r="CF20" i="11"/>
  <c r="CG20" i="11"/>
  <c r="CH20" i="11"/>
  <c r="CI20" i="11"/>
  <c r="CJ20" i="11"/>
  <c r="CK20" i="11"/>
  <c r="CL20" i="11"/>
  <c r="CM20" i="11"/>
  <c r="CN20" i="11"/>
  <c r="CO20" i="11"/>
  <c r="CP20" i="11"/>
  <c r="CQ20" i="11"/>
  <c r="CR20" i="11"/>
  <c r="CS20" i="11"/>
  <c r="CT20" i="11"/>
  <c r="CU20" i="11"/>
  <c r="CV20" i="11"/>
  <c r="CW20" i="11"/>
  <c r="CX20" i="11"/>
  <c r="CY20" i="11"/>
  <c r="CZ20" i="11"/>
  <c r="DA20" i="11"/>
  <c r="DB20" i="11"/>
  <c r="DC20" i="11"/>
  <c r="DD20" i="11"/>
  <c r="DE20" i="11"/>
  <c r="DF20" i="11"/>
  <c r="DG20" i="11"/>
  <c r="DH20" i="11"/>
  <c r="DI20" i="11"/>
  <c r="DJ20" i="11"/>
  <c r="DK20" i="11"/>
  <c r="DL20" i="11"/>
  <c r="DM20" i="11"/>
  <c r="DN20" i="11"/>
  <c r="DO20" i="11"/>
  <c r="DP20" i="11"/>
  <c r="DQ20" i="11"/>
  <c r="DR20" i="11"/>
  <c r="DS20" i="11"/>
  <c r="DT20" i="11"/>
  <c r="DU20" i="11"/>
  <c r="DV20" i="11"/>
  <c r="DW20" i="11"/>
  <c r="DX20" i="11"/>
  <c r="DY20" i="11"/>
  <c r="DZ20" i="11"/>
  <c r="EA20" i="11"/>
  <c r="EB20" i="11"/>
  <c r="EC20" i="11"/>
  <c r="ED20" i="11"/>
  <c r="EE20" i="11"/>
  <c r="EF20" i="11"/>
  <c r="EG20" i="11"/>
  <c r="EH20" i="11"/>
  <c r="EI20" i="11"/>
  <c r="EJ20" i="11"/>
  <c r="EK20" i="11"/>
  <c r="EL20" i="11"/>
  <c r="EM20" i="11"/>
  <c r="EN20" i="11"/>
  <c r="EO20" i="11"/>
  <c r="EP20" i="11"/>
  <c r="EQ20" i="11"/>
  <c r="ER20" i="11"/>
  <c r="ES20" i="11"/>
  <c r="ET20" i="11"/>
  <c r="EU20" i="11"/>
  <c r="EV20" i="11"/>
  <c r="EW20" i="11"/>
  <c r="EX20" i="11"/>
  <c r="EY20" i="11"/>
  <c r="EZ20" i="11"/>
  <c r="FA20" i="11"/>
  <c r="FB20" i="11"/>
  <c r="FC20" i="11"/>
  <c r="FD20" i="11"/>
  <c r="FE20" i="11"/>
  <c r="FF20" i="11"/>
  <c r="FG20" i="11"/>
  <c r="FH20" i="11"/>
  <c r="FI20" i="11"/>
  <c r="FJ20" i="11"/>
  <c r="FK20" i="11"/>
  <c r="FL20" i="11"/>
  <c r="FM20" i="11"/>
  <c r="FN20" i="11"/>
  <c r="FO20" i="11"/>
  <c r="FP20" i="11"/>
  <c r="FQ20" i="11"/>
  <c r="FR20" i="11"/>
  <c r="FS20" i="11"/>
  <c r="FT20" i="11"/>
  <c r="FU20" i="11"/>
  <c r="FV20" i="11"/>
  <c r="FW20" i="11"/>
  <c r="FX20" i="11"/>
  <c r="FY20" i="11"/>
  <c r="FZ20" i="11"/>
  <c r="GA20" i="11"/>
  <c r="GB20" i="11"/>
  <c r="GC20" i="11"/>
  <c r="GD20" i="11"/>
  <c r="GE20" i="11"/>
  <c r="GF20" i="11"/>
  <c r="GG20" i="11"/>
  <c r="GH20" i="11"/>
  <c r="GI20" i="11"/>
  <c r="GJ20" i="11"/>
  <c r="GK20" i="11"/>
  <c r="GL20" i="11"/>
  <c r="GM20" i="11"/>
  <c r="GN20" i="11"/>
  <c r="GO20" i="11"/>
  <c r="GP20" i="11"/>
  <c r="GQ20" i="11"/>
  <c r="GR20" i="11"/>
  <c r="GS20" i="11"/>
  <c r="GT20" i="11"/>
  <c r="GU20" i="11"/>
  <c r="GV20" i="11"/>
  <c r="GW20" i="11"/>
  <c r="GX20" i="11"/>
  <c r="GY20" i="11"/>
  <c r="GZ20" i="11"/>
  <c r="HA20" i="11"/>
  <c r="HB20" i="11"/>
  <c r="HC20" i="11"/>
  <c r="HD20" i="11"/>
  <c r="HE20" i="11"/>
  <c r="HF20" i="11"/>
  <c r="HG20" i="11"/>
  <c r="HH20" i="11"/>
  <c r="HI20" i="11"/>
  <c r="HJ20" i="11"/>
  <c r="HK20" i="11"/>
  <c r="HL20" i="11"/>
  <c r="HM20" i="11"/>
  <c r="HN20" i="11"/>
  <c r="HO20" i="11"/>
  <c r="HP20" i="11"/>
  <c r="HQ20" i="11"/>
  <c r="HR20" i="11"/>
  <c r="HS20" i="11"/>
  <c r="HT20" i="11"/>
  <c r="HU20" i="11"/>
  <c r="HV20" i="11"/>
  <c r="HW20" i="11"/>
  <c r="HX20" i="11"/>
  <c r="HY20" i="11"/>
  <c r="HZ20" i="11"/>
  <c r="IA20" i="11"/>
  <c r="IB20" i="11"/>
  <c r="IC20" i="11"/>
  <c r="ID20" i="11"/>
  <c r="IE20" i="11"/>
  <c r="IF20" i="11"/>
  <c r="IG20" i="11"/>
  <c r="IH20" i="11"/>
  <c r="II20" i="11"/>
  <c r="IJ20" i="11"/>
  <c r="IK20" i="11"/>
  <c r="IL20" i="11"/>
  <c r="IM20" i="11"/>
  <c r="IN20" i="11"/>
  <c r="IO20" i="11"/>
  <c r="IP20" i="11"/>
  <c r="IQ20" i="11"/>
  <c r="IR20" i="11"/>
  <c r="IS20" i="11"/>
  <c r="IT20" i="11"/>
  <c r="IU20" i="11"/>
  <c r="IV20" i="11"/>
  <c r="A19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BP19" i="11"/>
  <c r="BQ19" i="11"/>
  <c r="BR19" i="11"/>
  <c r="BS19" i="11"/>
  <c r="BT19" i="11"/>
  <c r="BU19" i="11"/>
  <c r="BV19" i="11"/>
  <c r="BW19" i="11"/>
  <c r="BX19" i="11"/>
  <c r="BY19" i="11"/>
  <c r="BZ19" i="11"/>
  <c r="CA19" i="11"/>
  <c r="CB19" i="11"/>
  <c r="CC19" i="11"/>
  <c r="CD19" i="11"/>
  <c r="CE19" i="11"/>
  <c r="CF19" i="11"/>
  <c r="CG19" i="11"/>
  <c r="CH19" i="11"/>
  <c r="CI19" i="11"/>
  <c r="CJ19" i="11"/>
  <c r="CK19" i="11"/>
  <c r="CL19" i="11"/>
  <c r="CM19" i="11"/>
  <c r="CN19" i="11"/>
  <c r="CO19" i="11"/>
  <c r="CP19" i="11"/>
  <c r="CQ19" i="11"/>
  <c r="CR19" i="11"/>
  <c r="CS19" i="11"/>
  <c r="CT19" i="11"/>
  <c r="CU19" i="11"/>
  <c r="CV19" i="11"/>
  <c r="CW19" i="11"/>
  <c r="CX19" i="11"/>
  <c r="CY19" i="11"/>
  <c r="CZ19" i="11"/>
  <c r="DA19" i="11"/>
  <c r="DB19" i="11"/>
  <c r="DC19" i="11"/>
  <c r="DD19" i="11"/>
  <c r="DE19" i="11"/>
  <c r="DF19" i="11"/>
  <c r="DG19" i="11"/>
  <c r="DH19" i="11"/>
  <c r="DI19" i="11"/>
  <c r="DJ19" i="11"/>
  <c r="DK19" i="11"/>
  <c r="DL19" i="11"/>
  <c r="DM19" i="11"/>
  <c r="DN19" i="11"/>
  <c r="DO19" i="11"/>
  <c r="DP19" i="11"/>
  <c r="DQ19" i="11"/>
  <c r="DR19" i="11"/>
  <c r="DS19" i="11"/>
  <c r="DT19" i="11"/>
  <c r="DU19" i="11"/>
  <c r="DV19" i="11"/>
  <c r="DW19" i="11"/>
  <c r="DX19" i="11"/>
  <c r="DY19" i="11"/>
  <c r="DZ19" i="11"/>
  <c r="EA19" i="11"/>
  <c r="EB19" i="11"/>
  <c r="EC19" i="11"/>
  <c r="ED19" i="11"/>
  <c r="EE19" i="11"/>
  <c r="EF19" i="11"/>
  <c r="EG19" i="11"/>
  <c r="EH19" i="11"/>
  <c r="EI19" i="11"/>
  <c r="EJ19" i="11"/>
  <c r="EK19" i="11"/>
  <c r="EL19" i="11"/>
  <c r="EM19" i="11"/>
  <c r="EN19" i="11"/>
  <c r="EO19" i="11"/>
  <c r="EP19" i="11"/>
  <c r="EQ19" i="11"/>
  <c r="ER19" i="11"/>
  <c r="ES19" i="11"/>
  <c r="ET19" i="11"/>
  <c r="EU19" i="11"/>
  <c r="EV19" i="11"/>
  <c r="EW19" i="11"/>
  <c r="EX19" i="11"/>
  <c r="EY19" i="11"/>
  <c r="EZ19" i="11"/>
  <c r="FA19" i="11"/>
  <c r="FB19" i="11"/>
  <c r="FC19" i="11"/>
  <c r="FD19" i="11"/>
  <c r="FE19" i="11"/>
  <c r="FF19" i="11"/>
  <c r="FG19" i="11"/>
  <c r="FH19" i="11"/>
  <c r="FI19" i="11"/>
  <c r="FJ19" i="11"/>
  <c r="FK19" i="11"/>
  <c r="FL19" i="11"/>
  <c r="FM19" i="11"/>
  <c r="FN19" i="11"/>
  <c r="FO19" i="11"/>
  <c r="FP19" i="11"/>
  <c r="FQ19" i="11"/>
  <c r="FR19" i="11"/>
  <c r="FS19" i="11"/>
  <c r="FT19" i="11"/>
  <c r="FU19" i="11"/>
  <c r="FV19" i="11"/>
  <c r="FW19" i="11"/>
  <c r="FX19" i="11"/>
  <c r="FY19" i="11"/>
  <c r="FZ19" i="11"/>
  <c r="GA19" i="11"/>
  <c r="GB19" i="11"/>
  <c r="GC19" i="11"/>
  <c r="GD19" i="11"/>
  <c r="GE19" i="11"/>
  <c r="GF19" i="11"/>
  <c r="GG19" i="11"/>
  <c r="GH19" i="11"/>
  <c r="GI19" i="11"/>
  <c r="GJ19" i="11"/>
  <c r="GK19" i="11"/>
  <c r="GL19" i="11"/>
  <c r="GM19" i="11"/>
  <c r="GN19" i="11"/>
  <c r="GO19" i="11"/>
  <c r="GP19" i="11"/>
  <c r="GQ19" i="11"/>
  <c r="GR19" i="11"/>
  <c r="GS19" i="11"/>
  <c r="GT19" i="11"/>
  <c r="GU19" i="11"/>
  <c r="GV19" i="11"/>
  <c r="GW19" i="11"/>
  <c r="GX19" i="11"/>
  <c r="GY19" i="11"/>
  <c r="GZ19" i="11"/>
  <c r="HA19" i="11"/>
  <c r="HB19" i="11"/>
  <c r="HC19" i="11"/>
  <c r="HD19" i="11"/>
  <c r="HE19" i="11"/>
  <c r="HF19" i="11"/>
  <c r="HG19" i="11"/>
  <c r="HH19" i="11"/>
  <c r="HI19" i="11"/>
  <c r="HJ19" i="11"/>
  <c r="HK19" i="11"/>
  <c r="HL19" i="11"/>
  <c r="HM19" i="11"/>
  <c r="HN19" i="11"/>
  <c r="HO19" i="11"/>
  <c r="HP19" i="11"/>
  <c r="HQ19" i="11"/>
  <c r="HR19" i="11"/>
  <c r="HS19" i="11"/>
  <c r="HT19" i="11"/>
  <c r="HU19" i="11"/>
  <c r="HV19" i="11"/>
  <c r="HW19" i="11"/>
  <c r="HX19" i="11"/>
  <c r="HY19" i="11"/>
  <c r="HZ19" i="11"/>
  <c r="IA19" i="11"/>
  <c r="IB19" i="11"/>
  <c r="IC19" i="11"/>
  <c r="ID19" i="11"/>
  <c r="IE19" i="11"/>
  <c r="IF19" i="11"/>
  <c r="IG19" i="11"/>
  <c r="IH19" i="11"/>
  <c r="II19" i="11"/>
  <c r="IJ19" i="11"/>
  <c r="IK19" i="11"/>
  <c r="IL19" i="11"/>
  <c r="IM19" i="11"/>
  <c r="IN19" i="11"/>
  <c r="IO19" i="11"/>
  <c r="IP19" i="11"/>
  <c r="IQ19" i="11"/>
  <c r="IR19" i="11"/>
  <c r="IS19" i="11"/>
  <c r="IT19" i="11"/>
  <c r="IU19" i="11"/>
  <c r="IV19" i="11"/>
  <c r="A18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X18" i="11"/>
  <c r="AY18" i="11"/>
  <c r="AZ18" i="11"/>
  <c r="BA18" i="11"/>
  <c r="BB18" i="11"/>
  <c r="BC18" i="11"/>
  <c r="BD18" i="11"/>
  <c r="BE18" i="11"/>
  <c r="BF18" i="11"/>
  <c r="BG18" i="11"/>
  <c r="BH18" i="11"/>
  <c r="BI18" i="11"/>
  <c r="BJ18" i="11"/>
  <c r="BK18" i="11"/>
  <c r="BL18" i="11"/>
  <c r="BM18" i="11"/>
  <c r="BN18" i="11"/>
  <c r="BO18" i="11"/>
  <c r="BP18" i="11"/>
  <c r="BQ18" i="11"/>
  <c r="BR18" i="11"/>
  <c r="BS18" i="11"/>
  <c r="BT18" i="11"/>
  <c r="BU18" i="11"/>
  <c r="BV18" i="11"/>
  <c r="BW18" i="11"/>
  <c r="BX18" i="11"/>
  <c r="BY18" i="11"/>
  <c r="BZ18" i="11"/>
  <c r="CA18" i="11"/>
  <c r="CB18" i="11"/>
  <c r="CC18" i="11"/>
  <c r="CD18" i="11"/>
  <c r="CE18" i="11"/>
  <c r="CF18" i="11"/>
  <c r="CG18" i="11"/>
  <c r="CH18" i="11"/>
  <c r="CI18" i="11"/>
  <c r="CJ18" i="11"/>
  <c r="CK18" i="11"/>
  <c r="CL18" i="11"/>
  <c r="CM18" i="11"/>
  <c r="CN18" i="11"/>
  <c r="CO18" i="11"/>
  <c r="CP18" i="11"/>
  <c r="CQ18" i="11"/>
  <c r="CR18" i="11"/>
  <c r="CS18" i="11"/>
  <c r="CT18" i="11"/>
  <c r="CU18" i="11"/>
  <c r="CV18" i="11"/>
  <c r="CW18" i="11"/>
  <c r="CX18" i="11"/>
  <c r="CY18" i="11"/>
  <c r="CZ18" i="11"/>
  <c r="DA18" i="11"/>
  <c r="DB18" i="11"/>
  <c r="DC18" i="11"/>
  <c r="DD18" i="11"/>
  <c r="DE18" i="11"/>
  <c r="DF18" i="11"/>
  <c r="DG18" i="11"/>
  <c r="DH18" i="11"/>
  <c r="DI18" i="11"/>
  <c r="DJ18" i="11"/>
  <c r="DK18" i="11"/>
  <c r="DL18" i="11"/>
  <c r="DM18" i="11"/>
  <c r="DN18" i="11"/>
  <c r="DO18" i="11"/>
  <c r="DP18" i="11"/>
  <c r="DQ18" i="11"/>
  <c r="DR18" i="11"/>
  <c r="DS18" i="11"/>
  <c r="DT18" i="11"/>
  <c r="DU18" i="11"/>
  <c r="DV18" i="11"/>
  <c r="DW18" i="11"/>
  <c r="DX18" i="11"/>
  <c r="DY18" i="11"/>
  <c r="DZ18" i="11"/>
  <c r="EA18" i="11"/>
  <c r="EB18" i="11"/>
  <c r="EC18" i="11"/>
  <c r="ED18" i="11"/>
  <c r="EE18" i="11"/>
  <c r="EF18" i="11"/>
  <c r="EG18" i="11"/>
  <c r="EH18" i="11"/>
  <c r="EI18" i="11"/>
  <c r="EJ18" i="11"/>
  <c r="EK18" i="11"/>
  <c r="EL18" i="11"/>
  <c r="EM18" i="11"/>
  <c r="EN18" i="11"/>
  <c r="EO18" i="11"/>
  <c r="EP18" i="11"/>
  <c r="EQ18" i="11"/>
  <c r="ER18" i="11"/>
  <c r="ES18" i="11"/>
  <c r="ET18" i="11"/>
  <c r="EU18" i="11"/>
  <c r="EV18" i="11"/>
  <c r="EW18" i="11"/>
  <c r="EX18" i="11"/>
  <c r="EY18" i="11"/>
  <c r="EZ18" i="11"/>
  <c r="FA18" i="11"/>
  <c r="FB18" i="11"/>
  <c r="FC18" i="11"/>
  <c r="FD18" i="11"/>
  <c r="FE18" i="11"/>
  <c r="FF18" i="11"/>
  <c r="FG18" i="11"/>
  <c r="FH18" i="11"/>
  <c r="FI18" i="11"/>
  <c r="FJ18" i="11"/>
  <c r="FK18" i="11"/>
  <c r="FL18" i="11"/>
  <c r="FM18" i="11"/>
  <c r="FN18" i="11"/>
  <c r="FO18" i="11"/>
  <c r="FP18" i="11"/>
  <c r="FQ18" i="11"/>
  <c r="FR18" i="11"/>
  <c r="FS18" i="11"/>
  <c r="FT18" i="11"/>
  <c r="FU18" i="11"/>
  <c r="FV18" i="11"/>
  <c r="FW18" i="11"/>
  <c r="FX18" i="11"/>
  <c r="FY18" i="11"/>
  <c r="FZ18" i="11"/>
  <c r="GA18" i="11"/>
  <c r="GB18" i="11"/>
  <c r="GC18" i="11"/>
  <c r="GD18" i="11"/>
  <c r="GE18" i="11"/>
  <c r="GF18" i="11"/>
  <c r="GG18" i="11"/>
  <c r="GH18" i="11"/>
  <c r="GI18" i="11"/>
  <c r="GJ18" i="11"/>
  <c r="GK18" i="11"/>
  <c r="GL18" i="11"/>
  <c r="GM18" i="11"/>
  <c r="GN18" i="11"/>
  <c r="GO18" i="11"/>
  <c r="GP18" i="11"/>
  <c r="GQ18" i="11"/>
  <c r="GR18" i="11"/>
  <c r="GS18" i="11"/>
  <c r="GT18" i="11"/>
  <c r="GU18" i="11"/>
  <c r="GV18" i="11"/>
  <c r="GW18" i="11"/>
  <c r="GX18" i="11"/>
  <c r="GY18" i="11"/>
  <c r="GZ18" i="11"/>
  <c r="HA18" i="11"/>
  <c r="HB18" i="11"/>
  <c r="HC18" i="11"/>
  <c r="HD18" i="11"/>
  <c r="HE18" i="11"/>
  <c r="HF18" i="11"/>
  <c r="HG18" i="11"/>
  <c r="HH18" i="11"/>
  <c r="HI18" i="11"/>
  <c r="HJ18" i="11"/>
  <c r="HK18" i="11"/>
  <c r="HL18" i="11"/>
  <c r="HM18" i="11"/>
  <c r="HN18" i="11"/>
  <c r="HO18" i="11"/>
  <c r="HP18" i="11"/>
  <c r="HQ18" i="11"/>
  <c r="HR18" i="11"/>
  <c r="HS18" i="11"/>
  <c r="HT18" i="11"/>
  <c r="HU18" i="11"/>
  <c r="HV18" i="11"/>
  <c r="HW18" i="11"/>
  <c r="HX18" i="11"/>
  <c r="HY18" i="11"/>
  <c r="HZ18" i="11"/>
  <c r="IA18" i="11"/>
  <c r="IB18" i="11"/>
  <c r="IC18" i="11"/>
  <c r="ID18" i="11"/>
  <c r="IE18" i="11"/>
  <c r="IF18" i="11"/>
  <c r="IG18" i="11"/>
  <c r="IH18" i="11"/>
  <c r="II18" i="11"/>
  <c r="IJ18" i="11"/>
  <c r="IK18" i="11"/>
  <c r="IL18" i="11"/>
  <c r="IM18" i="11"/>
  <c r="IN18" i="11"/>
  <c r="IO18" i="11"/>
  <c r="IP18" i="11"/>
  <c r="IQ18" i="11"/>
  <c r="IR18" i="11"/>
  <c r="IS18" i="11"/>
  <c r="IT18" i="11"/>
  <c r="IU18" i="11"/>
  <c r="IV18" i="11"/>
  <c r="A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X17" i="11"/>
  <c r="AY17" i="11"/>
  <c r="AZ17" i="11"/>
  <c r="BA17" i="11"/>
  <c r="BB17" i="11"/>
  <c r="BC17" i="11"/>
  <c r="BD17" i="11"/>
  <c r="BE17" i="11"/>
  <c r="BF17" i="11"/>
  <c r="BG17" i="11"/>
  <c r="BH17" i="11"/>
  <c r="BI17" i="11"/>
  <c r="BJ17" i="11"/>
  <c r="BK17" i="11"/>
  <c r="BL17" i="11"/>
  <c r="BM17" i="11"/>
  <c r="BN17" i="11"/>
  <c r="BO17" i="11"/>
  <c r="BP17" i="11"/>
  <c r="BQ17" i="11"/>
  <c r="BR17" i="11"/>
  <c r="BS17" i="11"/>
  <c r="BT17" i="11"/>
  <c r="BU17" i="11"/>
  <c r="BV17" i="11"/>
  <c r="BW17" i="11"/>
  <c r="BX17" i="11"/>
  <c r="BY17" i="11"/>
  <c r="BZ17" i="11"/>
  <c r="CA17" i="11"/>
  <c r="CB17" i="11"/>
  <c r="CC17" i="11"/>
  <c r="CD17" i="11"/>
  <c r="CE17" i="11"/>
  <c r="CF17" i="11"/>
  <c r="CG17" i="11"/>
  <c r="CH17" i="11"/>
  <c r="CI17" i="11"/>
  <c r="CJ17" i="11"/>
  <c r="CK17" i="11"/>
  <c r="CL17" i="11"/>
  <c r="CM17" i="11"/>
  <c r="CN17" i="11"/>
  <c r="CO17" i="11"/>
  <c r="CP17" i="11"/>
  <c r="CQ17" i="11"/>
  <c r="CR17" i="11"/>
  <c r="CS17" i="11"/>
  <c r="CT17" i="11"/>
  <c r="CU17" i="11"/>
  <c r="CV17" i="11"/>
  <c r="CW17" i="11"/>
  <c r="CX17" i="11"/>
  <c r="CY17" i="11"/>
  <c r="CZ17" i="11"/>
  <c r="DA17" i="11"/>
  <c r="DB17" i="11"/>
  <c r="DC17" i="11"/>
  <c r="DD17" i="11"/>
  <c r="DE17" i="11"/>
  <c r="DF17" i="11"/>
  <c r="DG17" i="11"/>
  <c r="DH17" i="11"/>
  <c r="DI17" i="11"/>
  <c r="DJ17" i="11"/>
  <c r="DK17" i="11"/>
  <c r="DL17" i="11"/>
  <c r="DM17" i="11"/>
  <c r="DN17" i="11"/>
  <c r="DO17" i="11"/>
  <c r="DP17" i="11"/>
  <c r="DQ17" i="11"/>
  <c r="DR17" i="11"/>
  <c r="DS17" i="11"/>
  <c r="DT17" i="11"/>
  <c r="DU17" i="11"/>
  <c r="DV17" i="11"/>
  <c r="DW17" i="11"/>
  <c r="DX17" i="11"/>
  <c r="DY17" i="11"/>
  <c r="DZ17" i="11"/>
  <c r="EA17" i="11"/>
  <c r="EB17" i="11"/>
  <c r="EC17" i="11"/>
  <c r="ED17" i="11"/>
  <c r="EE17" i="11"/>
  <c r="EF17" i="11"/>
  <c r="EG17" i="11"/>
  <c r="EH17" i="11"/>
  <c r="EI17" i="11"/>
  <c r="EJ17" i="11"/>
  <c r="EK17" i="11"/>
  <c r="EL17" i="11"/>
  <c r="EM17" i="11"/>
  <c r="EN17" i="11"/>
  <c r="EO17" i="11"/>
  <c r="EP17" i="11"/>
  <c r="EQ17" i="11"/>
  <c r="ER17" i="11"/>
  <c r="ES17" i="11"/>
  <c r="ET17" i="11"/>
  <c r="EU17" i="11"/>
  <c r="EV17" i="11"/>
  <c r="EW17" i="11"/>
  <c r="EX17" i="11"/>
  <c r="EY17" i="11"/>
  <c r="EZ17" i="11"/>
  <c r="FA17" i="11"/>
  <c r="FB17" i="11"/>
  <c r="FC17" i="11"/>
  <c r="FD17" i="11"/>
  <c r="FE17" i="11"/>
  <c r="FF17" i="11"/>
  <c r="FG17" i="11"/>
  <c r="FH17" i="11"/>
  <c r="FI17" i="11"/>
  <c r="FJ17" i="11"/>
  <c r="FK17" i="11"/>
  <c r="FL17" i="11"/>
  <c r="FM17" i="11"/>
  <c r="FN17" i="11"/>
  <c r="FO17" i="11"/>
  <c r="FP17" i="11"/>
  <c r="FQ17" i="11"/>
  <c r="FR17" i="11"/>
  <c r="FS17" i="11"/>
  <c r="FT17" i="11"/>
  <c r="FU17" i="11"/>
  <c r="FV17" i="11"/>
  <c r="FW17" i="11"/>
  <c r="FX17" i="11"/>
  <c r="FY17" i="11"/>
  <c r="FZ17" i="11"/>
  <c r="GA17" i="11"/>
  <c r="GB17" i="11"/>
  <c r="GC17" i="11"/>
  <c r="GD17" i="11"/>
  <c r="GE17" i="11"/>
  <c r="GF17" i="11"/>
  <c r="GG17" i="11"/>
  <c r="GH17" i="11"/>
  <c r="GI17" i="11"/>
  <c r="GJ17" i="11"/>
  <c r="GK17" i="11"/>
  <c r="GL17" i="11"/>
  <c r="GM17" i="11"/>
  <c r="GN17" i="11"/>
  <c r="GO17" i="11"/>
  <c r="GP17" i="11"/>
  <c r="GQ17" i="11"/>
  <c r="GR17" i="11"/>
  <c r="GS17" i="11"/>
  <c r="GT17" i="11"/>
  <c r="GU17" i="11"/>
  <c r="GV17" i="11"/>
  <c r="GW17" i="11"/>
  <c r="GX17" i="11"/>
  <c r="GY17" i="11"/>
  <c r="GZ17" i="11"/>
  <c r="HA17" i="11"/>
  <c r="HB17" i="11"/>
  <c r="HC17" i="11"/>
  <c r="HD17" i="11"/>
  <c r="HE17" i="11"/>
  <c r="HF17" i="11"/>
  <c r="HG17" i="11"/>
  <c r="HH17" i="11"/>
  <c r="HI17" i="11"/>
  <c r="HJ17" i="11"/>
  <c r="HK17" i="11"/>
  <c r="HL17" i="11"/>
  <c r="HM17" i="11"/>
  <c r="HN17" i="11"/>
  <c r="HO17" i="11"/>
  <c r="HP17" i="11"/>
  <c r="HQ17" i="11"/>
  <c r="HR17" i="11"/>
  <c r="HS17" i="11"/>
  <c r="HT17" i="11"/>
  <c r="HU17" i="11"/>
  <c r="HV17" i="11"/>
  <c r="HW17" i="11"/>
  <c r="HX17" i="11"/>
  <c r="HY17" i="11"/>
  <c r="HZ17" i="11"/>
  <c r="IA17" i="11"/>
  <c r="IB17" i="11"/>
  <c r="IC17" i="11"/>
  <c r="ID17" i="11"/>
  <c r="IE17" i="11"/>
  <c r="IF17" i="11"/>
  <c r="IG17" i="11"/>
  <c r="IH17" i="11"/>
  <c r="II17" i="11"/>
  <c r="IJ17" i="11"/>
  <c r="IK17" i="11"/>
  <c r="IL17" i="11"/>
  <c r="IM17" i="11"/>
  <c r="IN17" i="11"/>
  <c r="IO17" i="11"/>
  <c r="IP17" i="11"/>
  <c r="IQ17" i="11"/>
  <c r="IR17" i="11"/>
  <c r="IS17" i="11"/>
  <c r="IT17" i="11"/>
  <c r="IU17" i="11"/>
  <c r="IV17" i="11"/>
  <c r="A16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P16" i="11"/>
  <c r="AQ16" i="11"/>
  <c r="AR16" i="11"/>
  <c r="AS16" i="11"/>
  <c r="AT16" i="11"/>
  <c r="AU16" i="11"/>
  <c r="AV16" i="11"/>
  <c r="AW16" i="11"/>
  <c r="AX16" i="11"/>
  <c r="AY16" i="11"/>
  <c r="AZ16" i="11"/>
  <c r="BA16" i="11"/>
  <c r="BB16" i="11"/>
  <c r="BC16" i="11"/>
  <c r="BD16" i="11"/>
  <c r="BE16" i="11"/>
  <c r="BF16" i="11"/>
  <c r="BG16" i="11"/>
  <c r="BH16" i="11"/>
  <c r="BI16" i="11"/>
  <c r="BJ16" i="11"/>
  <c r="BK16" i="11"/>
  <c r="BL16" i="11"/>
  <c r="BM16" i="11"/>
  <c r="BN16" i="11"/>
  <c r="BO16" i="11"/>
  <c r="BP16" i="11"/>
  <c r="BQ16" i="11"/>
  <c r="BR16" i="11"/>
  <c r="BS16" i="11"/>
  <c r="BT16" i="11"/>
  <c r="BU16" i="11"/>
  <c r="BV16" i="11"/>
  <c r="BW16" i="11"/>
  <c r="BX16" i="11"/>
  <c r="BY16" i="11"/>
  <c r="BZ16" i="11"/>
  <c r="CA16" i="11"/>
  <c r="CB16" i="11"/>
  <c r="CC16" i="11"/>
  <c r="CD16" i="11"/>
  <c r="CE16" i="11"/>
  <c r="CF16" i="11"/>
  <c r="CG16" i="11"/>
  <c r="CH16" i="11"/>
  <c r="CI16" i="11"/>
  <c r="CJ16" i="11"/>
  <c r="CK16" i="11"/>
  <c r="CL16" i="11"/>
  <c r="CM16" i="11"/>
  <c r="CN16" i="11"/>
  <c r="CO16" i="11"/>
  <c r="CP16" i="11"/>
  <c r="CQ16" i="11"/>
  <c r="CR16" i="11"/>
  <c r="CS16" i="11"/>
  <c r="CT16" i="11"/>
  <c r="CU16" i="11"/>
  <c r="CV16" i="11"/>
  <c r="CW16" i="11"/>
  <c r="CX16" i="11"/>
  <c r="CY16" i="11"/>
  <c r="CZ16" i="11"/>
  <c r="DA16" i="11"/>
  <c r="DB16" i="11"/>
  <c r="DC16" i="11"/>
  <c r="DD16" i="11"/>
  <c r="DE16" i="11"/>
  <c r="DF16" i="11"/>
  <c r="DG16" i="11"/>
  <c r="DH16" i="11"/>
  <c r="DI16" i="11"/>
  <c r="DJ16" i="11"/>
  <c r="DK16" i="11"/>
  <c r="DL16" i="11"/>
  <c r="DM16" i="11"/>
  <c r="DN16" i="11"/>
  <c r="DO16" i="11"/>
  <c r="DP16" i="11"/>
  <c r="DQ16" i="11"/>
  <c r="DR16" i="11"/>
  <c r="DS16" i="11"/>
  <c r="DT16" i="11"/>
  <c r="DU16" i="11"/>
  <c r="DV16" i="11"/>
  <c r="DW16" i="11"/>
  <c r="DX16" i="11"/>
  <c r="DY16" i="11"/>
  <c r="DZ16" i="11"/>
  <c r="EA16" i="11"/>
  <c r="EB16" i="11"/>
  <c r="EC16" i="11"/>
  <c r="ED16" i="11"/>
  <c r="EE16" i="11"/>
  <c r="EF16" i="11"/>
  <c r="EG16" i="11"/>
  <c r="EH16" i="11"/>
  <c r="EI16" i="11"/>
  <c r="EJ16" i="11"/>
  <c r="EK16" i="11"/>
  <c r="EL16" i="11"/>
  <c r="EM16" i="11"/>
  <c r="EN16" i="11"/>
  <c r="EO16" i="11"/>
  <c r="EP16" i="11"/>
  <c r="EQ16" i="11"/>
  <c r="ER16" i="11"/>
  <c r="ES16" i="11"/>
  <c r="ET16" i="11"/>
  <c r="EU16" i="11"/>
  <c r="EV16" i="11"/>
  <c r="EW16" i="11"/>
  <c r="EX16" i="11"/>
  <c r="EY16" i="11"/>
  <c r="EZ16" i="11"/>
  <c r="FA16" i="11"/>
  <c r="FB16" i="11"/>
  <c r="FC16" i="11"/>
  <c r="FD16" i="11"/>
  <c r="FE16" i="11"/>
  <c r="FF16" i="11"/>
  <c r="FG16" i="11"/>
  <c r="FH16" i="11"/>
  <c r="FI16" i="11"/>
  <c r="FJ16" i="11"/>
  <c r="FK16" i="11"/>
  <c r="FL16" i="11"/>
  <c r="FM16" i="11"/>
  <c r="FN16" i="11"/>
  <c r="FO16" i="11"/>
  <c r="FP16" i="11"/>
  <c r="FQ16" i="11"/>
  <c r="FR16" i="11"/>
  <c r="FS16" i="11"/>
  <c r="FT16" i="11"/>
  <c r="FU16" i="11"/>
  <c r="FV16" i="11"/>
  <c r="FW16" i="11"/>
  <c r="FX16" i="11"/>
  <c r="FY16" i="11"/>
  <c r="FZ16" i="11"/>
  <c r="GA16" i="11"/>
  <c r="GB16" i="11"/>
  <c r="GC16" i="11"/>
  <c r="GD16" i="11"/>
  <c r="GE16" i="11"/>
  <c r="GF16" i="11"/>
  <c r="GG16" i="11"/>
  <c r="GH16" i="11"/>
  <c r="GI16" i="11"/>
  <c r="GJ16" i="11"/>
  <c r="GK16" i="11"/>
  <c r="GL16" i="11"/>
  <c r="GM16" i="11"/>
  <c r="GN16" i="11"/>
  <c r="GO16" i="11"/>
  <c r="GP16" i="11"/>
  <c r="GQ16" i="11"/>
  <c r="GR16" i="11"/>
  <c r="GS16" i="11"/>
  <c r="GT16" i="11"/>
  <c r="GU16" i="11"/>
  <c r="GV16" i="11"/>
  <c r="GW16" i="11"/>
  <c r="GX16" i="11"/>
  <c r="GY16" i="11"/>
  <c r="GZ16" i="11"/>
  <c r="HA16" i="11"/>
  <c r="HB16" i="11"/>
  <c r="HC16" i="11"/>
  <c r="HD16" i="11"/>
  <c r="HE16" i="11"/>
  <c r="HF16" i="11"/>
  <c r="HG16" i="11"/>
  <c r="HH16" i="11"/>
  <c r="HI16" i="11"/>
  <c r="HJ16" i="11"/>
  <c r="HK16" i="11"/>
  <c r="HL16" i="11"/>
  <c r="HM16" i="11"/>
  <c r="HN16" i="11"/>
  <c r="HO16" i="11"/>
  <c r="HP16" i="11"/>
  <c r="HQ16" i="11"/>
  <c r="HR16" i="11"/>
  <c r="HS16" i="11"/>
  <c r="HT16" i="11"/>
  <c r="HU16" i="11"/>
  <c r="HV16" i="11"/>
  <c r="HW16" i="11"/>
  <c r="HX16" i="11"/>
  <c r="HY16" i="11"/>
  <c r="HZ16" i="11"/>
  <c r="IA16" i="11"/>
  <c r="IB16" i="11"/>
  <c r="IC16" i="11"/>
  <c r="ID16" i="11"/>
  <c r="IE16" i="11"/>
  <c r="IF16" i="11"/>
  <c r="IG16" i="11"/>
  <c r="IH16" i="11"/>
  <c r="II16" i="11"/>
  <c r="IJ16" i="11"/>
  <c r="IK16" i="11"/>
  <c r="IL16" i="11"/>
  <c r="IM16" i="11"/>
  <c r="IN16" i="11"/>
  <c r="IO16" i="11"/>
  <c r="IP16" i="11"/>
  <c r="IQ16" i="11"/>
  <c r="IR16" i="11"/>
  <c r="IS16" i="11"/>
  <c r="IT16" i="11"/>
  <c r="IU16" i="11"/>
  <c r="IV16" i="11"/>
  <c r="A15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AX15" i="11"/>
  <c r="AY15" i="11"/>
  <c r="AZ15" i="11"/>
  <c r="BA15" i="11"/>
  <c r="BB15" i="11"/>
  <c r="BC15" i="11"/>
  <c r="BD15" i="11"/>
  <c r="BE15" i="11"/>
  <c r="BF15" i="11"/>
  <c r="BG15" i="11"/>
  <c r="BH15" i="11"/>
  <c r="BI15" i="11"/>
  <c r="BJ15" i="11"/>
  <c r="BK15" i="11"/>
  <c r="BL15" i="11"/>
  <c r="BM15" i="11"/>
  <c r="BN15" i="11"/>
  <c r="BO15" i="11"/>
  <c r="BP15" i="11"/>
  <c r="BQ15" i="11"/>
  <c r="BR15" i="11"/>
  <c r="BS15" i="11"/>
  <c r="BT15" i="11"/>
  <c r="BU15" i="11"/>
  <c r="BV15" i="11"/>
  <c r="BW15" i="11"/>
  <c r="BX15" i="11"/>
  <c r="BY15" i="11"/>
  <c r="BZ15" i="11"/>
  <c r="CA15" i="11"/>
  <c r="CB15" i="11"/>
  <c r="CC15" i="11"/>
  <c r="CD15" i="11"/>
  <c r="CE15" i="11"/>
  <c r="CF15" i="11"/>
  <c r="CG15" i="11"/>
  <c r="CH15" i="11"/>
  <c r="CI15" i="11"/>
  <c r="CJ15" i="11"/>
  <c r="CK15" i="11"/>
  <c r="CL15" i="11"/>
  <c r="CM15" i="11"/>
  <c r="CN15" i="11"/>
  <c r="CO15" i="11"/>
  <c r="CP15" i="11"/>
  <c r="CQ15" i="11"/>
  <c r="CR15" i="11"/>
  <c r="CS15" i="11"/>
  <c r="CT15" i="11"/>
  <c r="CU15" i="11"/>
  <c r="CV15" i="11"/>
  <c r="CW15" i="11"/>
  <c r="CX15" i="11"/>
  <c r="CY15" i="11"/>
  <c r="CZ15" i="11"/>
  <c r="DA15" i="11"/>
  <c r="DB15" i="11"/>
  <c r="DC15" i="11"/>
  <c r="DD15" i="11"/>
  <c r="DE15" i="11"/>
  <c r="DF15" i="11"/>
  <c r="DG15" i="11"/>
  <c r="DH15" i="11"/>
  <c r="DI15" i="11"/>
  <c r="DJ15" i="11"/>
  <c r="DK15" i="11"/>
  <c r="DL15" i="11"/>
  <c r="DM15" i="11"/>
  <c r="DN15" i="11"/>
  <c r="DO15" i="11"/>
  <c r="DP15" i="11"/>
  <c r="DQ15" i="11"/>
  <c r="DR15" i="11"/>
  <c r="DS15" i="11"/>
  <c r="DT15" i="11"/>
  <c r="DU15" i="11"/>
  <c r="DV15" i="11"/>
  <c r="DW15" i="11"/>
  <c r="DX15" i="11"/>
  <c r="DY15" i="11"/>
  <c r="DZ15" i="11"/>
  <c r="EA15" i="11"/>
  <c r="EB15" i="11"/>
  <c r="EC15" i="11"/>
  <c r="ED15" i="11"/>
  <c r="EE15" i="11"/>
  <c r="EF15" i="11"/>
  <c r="EG15" i="11"/>
  <c r="EH15" i="11"/>
  <c r="EI15" i="11"/>
  <c r="EJ15" i="11"/>
  <c r="EK15" i="11"/>
  <c r="EL15" i="11"/>
  <c r="EM15" i="11"/>
  <c r="EN15" i="11"/>
  <c r="EO15" i="11"/>
  <c r="EP15" i="11"/>
  <c r="EQ15" i="11"/>
  <c r="ER15" i="11"/>
  <c r="ES15" i="11"/>
  <c r="ET15" i="11"/>
  <c r="EU15" i="11"/>
  <c r="EV15" i="11"/>
  <c r="EW15" i="11"/>
  <c r="EX15" i="11"/>
  <c r="EY15" i="11"/>
  <c r="EZ15" i="11"/>
  <c r="FA15" i="11"/>
  <c r="FB15" i="11"/>
  <c r="FC15" i="11"/>
  <c r="FD15" i="11"/>
  <c r="FE15" i="11"/>
  <c r="FF15" i="11"/>
  <c r="FG15" i="11"/>
  <c r="FH15" i="11"/>
  <c r="FI15" i="11"/>
  <c r="FJ15" i="11"/>
  <c r="FK15" i="11"/>
  <c r="FL15" i="11"/>
  <c r="FM15" i="11"/>
  <c r="FN15" i="11"/>
  <c r="FO15" i="11"/>
  <c r="FP15" i="11"/>
  <c r="FQ15" i="11"/>
  <c r="FR15" i="11"/>
  <c r="FS15" i="11"/>
  <c r="FT15" i="11"/>
  <c r="FU15" i="11"/>
  <c r="FV15" i="11"/>
  <c r="FW15" i="11"/>
  <c r="FX15" i="11"/>
  <c r="FY15" i="11"/>
  <c r="FZ15" i="11"/>
  <c r="GA15" i="11"/>
  <c r="GB15" i="11"/>
  <c r="GC15" i="11"/>
  <c r="GD15" i="11"/>
  <c r="GE15" i="11"/>
  <c r="GF15" i="11"/>
  <c r="GG15" i="11"/>
  <c r="GH15" i="11"/>
  <c r="GI15" i="11"/>
  <c r="GJ15" i="11"/>
  <c r="GK15" i="11"/>
  <c r="GL15" i="11"/>
  <c r="GM15" i="11"/>
  <c r="GN15" i="11"/>
  <c r="GO15" i="11"/>
  <c r="GP15" i="11"/>
  <c r="GQ15" i="11"/>
  <c r="GR15" i="11"/>
  <c r="GS15" i="11"/>
  <c r="GT15" i="11"/>
  <c r="GU15" i="11"/>
  <c r="GV15" i="11"/>
  <c r="GW15" i="11"/>
  <c r="GX15" i="11"/>
  <c r="GY15" i="11"/>
  <c r="GZ15" i="11"/>
  <c r="HA15" i="11"/>
  <c r="HB15" i="11"/>
  <c r="HC15" i="11"/>
  <c r="HD15" i="11"/>
  <c r="HE15" i="11"/>
  <c r="HF15" i="11"/>
  <c r="HG15" i="11"/>
  <c r="HH15" i="11"/>
  <c r="HI15" i="11"/>
  <c r="HJ15" i="11"/>
  <c r="HK15" i="11"/>
  <c r="HL15" i="11"/>
  <c r="HM15" i="11"/>
  <c r="HN15" i="11"/>
  <c r="HO15" i="11"/>
  <c r="HP15" i="11"/>
  <c r="HQ15" i="11"/>
  <c r="HR15" i="11"/>
  <c r="HS15" i="11"/>
  <c r="HT15" i="11"/>
  <c r="HU15" i="11"/>
  <c r="HV15" i="11"/>
  <c r="HW15" i="11"/>
  <c r="HX15" i="11"/>
  <c r="HY15" i="11"/>
  <c r="HZ15" i="11"/>
  <c r="IA15" i="11"/>
  <c r="IB15" i="11"/>
  <c r="IC15" i="11"/>
  <c r="ID15" i="11"/>
  <c r="IE15" i="11"/>
  <c r="IF15" i="11"/>
  <c r="IG15" i="11"/>
  <c r="IH15" i="11"/>
  <c r="II15" i="11"/>
  <c r="IJ15" i="11"/>
  <c r="IK15" i="11"/>
  <c r="IL15" i="11"/>
  <c r="IM15" i="11"/>
  <c r="IN15" i="11"/>
  <c r="IO15" i="11"/>
  <c r="IP15" i="11"/>
  <c r="IQ15" i="11"/>
  <c r="IR15" i="11"/>
  <c r="IS15" i="11"/>
  <c r="IT15" i="11"/>
  <c r="IU15" i="11"/>
  <c r="IV15" i="11"/>
  <c r="A14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BP14" i="11"/>
  <c r="BQ14" i="11"/>
  <c r="BR14" i="11"/>
  <c r="BS14" i="11"/>
  <c r="BT14" i="11"/>
  <c r="BU14" i="11"/>
  <c r="BV14" i="11"/>
  <c r="BW14" i="11"/>
  <c r="BX14" i="11"/>
  <c r="BY14" i="11"/>
  <c r="BZ14" i="11"/>
  <c r="CA14" i="11"/>
  <c r="CB14" i="11"/>
  <c r="CC14" i="11"/>
  <c r="CD14" i="11"/>
  <c r="CE14" i="11"/>
  <c r="CF14" i="11"/>
  <c r="CG14" i="11"/>
  <c r="CH14" i="11"/>
  <c r="CI14" i="11"/>
  <c r="CJ14" i="11"/>
  <c r="CK14" i="11"/>
  <c r="CL14" i="11"/>
  <c r="CM14" i="11"/>
  <c r="CN14" i="11"/>
  <c r="CO14" i="11"/>
  <c r="CP14" i="11"/>
  <c r="CQ14" i="11"/>
  <c r="CR14" i="11"/>
  <c r="CS14" i="11"/>
  <c r="CT14" i="11"/>
  <c r="CU14" i="11"/>
  <c r="CV14" i="11"/>
  <c r="CW14" i="11"/>
  <c r="CX14" i="11"/>
  <c r="CY14" i="11"/>
  <c r="CZ14" i="11"/>
  <c r="DA14" i="11"/>
  <c r="DB14" i="11"/>
  <c r="DC14" i="11"/>
  <c r="DD14" i="11"/>
  <c r="DE14" i="11"/>
  <c r="DF14" i="11"/>
  <c r="DG14" i="11"/>
  <c r="DH14" i="11"/>
  <c r="DI14" i="11"/>
  <c r="DJ14" i="11"/>
  <c r="DK14" i="11"/>
  <c r="DL14" i="11"/>
  <c r="DM14" i="11"/>
  <c r="DN14" i="11"/>
  <c r="DO14" i="11"/>
  <c r="DP14" i="11"/>
  <c r="DQ14" i="11"/>
  <c r="DR14" i="11"/>
  <c r="DS14" i="11"/>
  <c r="DT14" i="11"/>
  <c r="DU14" i="11"/>
  <c r="DV14" i="11"/>
  <c r="DW14" i="11"/>
  <c r="DX14" i="11"/>
  <c r="DY14" i="11"/>
  <c r="DZ14" i="11"/>
  <c r="EA14" i="11"/>
  <c r="EB14" i="11"/>
  <c r="EC14" i="11"/>
  <c r="ED14" i="11"/>
  <c r="EE14" i="11"/>
  <c r="EF14" i="11"/>
  <c r="EG14" i="11"/>
  <c r="EH14" i="11"/>
  <c r="EI14" i="11"/>
  <c r="EJ14" i="11"/>
  <c r="EK14" i="11"/>
  <c r="EL14" i="11"/>
  <c r="EM14" i="11"/>
  <c r="EN14" i="11"/>
  <c r="EO14" i="11"/>
  <c r="EP14" i="11"/>
  <c r="EQ14" i="11"/>
  <c r="ER14" i="11"/>
  <c r="ES14" i="11"/>
  <c r="ET14" i="11"/>
  <c r="EU14" i="11"/>
  <c r="EV14" i="11"/>
  <c r="EW14" i="11"/>
  <c r="EX14" i="11"/>
  <c r="EY14" i="11"/>
  <c r="EZ14" i="11"/>
  <c r="FA14" i="11"/>
  <c r="FB14" i="11"/>
  <c r="FC14" i="11"/>
  <c r="FD14" i="11"/>
  <c r="FE14" i="11"/>
  <c r="FF14" i="11"/>
  <c r="FG14" i="11"/>
  <c r="FH14" i="11"/>
  <c r="FI14" i="11"/>
  <c r="FJ14" i="11"/>
  <c r="FK14" i="11"/>
  <c r="FL14" i="11"/>
  <c r="FM14" i="11"/>
  <c r="FN14" i="11"/>
  <c r="FO14" i="11"/>
  <c r="FP14" i="11"/>
  <c r="FQ14" i="11"/>
  <c r="FR14" i="11"/>
  <c r="FS14" i="11"/>
  <c r="FT14" i="11"/>
  <c r="FU14" i="11"/>
  <c r="FV14" i="11"/>
  <c r="FW14" i="11"/>
  <c r="FX14" i="11"/>
  <c r="FY14" i="11"/>
  <c r="FZ14" i="11"/>
  <c r="GA14" i="11"/>
  <c r="GB14" i="11"/>
  <c r="GC14" i="11"/>
  <c r="GD14" i="11"/>
  <c r="GE14" i="11"/>
  <c r="GF14" i="11"/>
  <c r="GG14" i="11"/>
  <c r="GH14" i="11"/>
  <c r="GI14" i="11"/>
  <c r="GJ14" i="11"/>
  <c r="GK14" i="11"/>
  <c r="GL14" i="11"/>
  <c r="GM14" i="11"/>
  <c r="GN14" i="11"/>
  <c r="GO14" i="11"/>
  <c r="GP14" i="11"/>
  <c r="GQ14" i="11"/>
  <c r="GR14" i="11"/>
  <c r="GS14" i="11"/>
  <c r="GT14" i="11"/>
  <c r="GU14" i="11"/>
  <c r="GV14" i="11"/>
  <c r="GW14" i="11"/>
  <c r="GX14" i="11"/>
  <c r="GY14" i="11"/>
  <c r="GZ14" i="11"/>
  <c r="HA14" i="11"/>
  <c r="HB14" i="11"/>
  <c r="HC14" i="11"/>
  <c r="HD14" i="11"/>
  <c r="HE14" i="11"/>
  <c r="HF14" i="11"/>
  <c r="HG14" i="11"/>
  <c r="HH14" i="11"/>
  <c r="HI14" i="11"/>
  <c r="HJ14" i="11"/>
  <c r="HK14" i="11"/>
  <c r="HL14" i="11"/>
  <c r="HM14" i="11"/>
  <c r="HN14" i="11"/>
  <c r="HO14" i="11"/>
  <c r="HP14" i="11"/>
  <c r="HQ14" i="11"/>
  <c r="HR14" i="11"/>
  <c r="HS14" i="11"/>
  <c r="HT14" i="11"/>
  <c r="HU14" i="11"/>
  <c r="HV14" i="11"/>
  <c r="HW14" i="11"/>
  <c r="HX14" i="11"/>
  <c r="HY14" i="11"/>
  <c r="HZ14" i="11"/>
  <c r="IA14" i="11"/>
  <c r="IB14" i="11"/>
  <c r="IC14" i="11"/>
  <c r="ID14" i="11"/>
  <c r="IE14" i="11"/>
  <c r="IF14" i="11"/>
  <c r="IG14" i="11"/>
  <c r="IH14" i="11"/>
  <c r="II14" i="11"/>
  <c r="IJ14" i="11"/>
  <c r="IK14" i="11"/>
  <c r="IL14" i="11"/>
  <c r="IM14" i="11"/>
  <c r="IN14" i="11"/>
  <c r="IO14" i="11"/>
  <c r="IP14" i="11"/>
  <c r="IQ14" i="11"/>
  <c r="IR14" i="11"/>
  <c r="IS14" i="11"/>
  <c r="IT14" i="11"/>
  <c r="IU14" i="11"/>
  <c r="IV14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BT13" i="11"/>
  <c r="BU13" i="11"/>
  <c r="BV13" i="11"/>
  <c r="BW13" i="11"/>
  <c r="BX13" i="11"/>
  <c r="BY13" i="11"/>
  <c r="BZ13" i="11"/>
  <c r="CA13" i="11"/>
  <c r="CB13" i="11"/>
  <c r="CC13" i="11"/>
  <c r="CD13" i="11"/>
  <c r="CE13" i="11"/>
  <c r="CF13" i="11"/>
  <c r="CG13" i="11"/>
  <c r="CH13" i="11"/>
  <c r="CI13" i="11"/>
  <c r="CJ13" i="11"/>
  <c r="CK13" i="11"/>
  <c r="CL13" i="11"/>
  <c r="CM13" i="11"/>
  <c r="CN13" i="11"/>
  <c r="CO13" i="11"/>
  <c r="CP13" i="11"/>
  <c r="CQ13" i="11"/>
  <c r="CR13" i="11"/>
  <c r="CS13" i="11"/>
  <c r="CT13" i="11"/>
  <c r="CU13" i="11"/>
  <c r="CV13" i="11"/>
  <c r="CW13" i="11"/>
  <c r="CX13" i="11"/>
  <c r="CY13" i="11"/>
  <c r="CZ13" i="11"/>
  <c r="DA13" i="11"/>
  <c r="DB13" i="11"/>
  <c r="DC13" i="11"/>
  <c r="DD13" i="11"/>
  <c r="DE13" i="11"/>
  <c r="DF13" i="11"/>
  <c r="DG13" i="11"/>
  <c r="DH13" i="11"/>
  <c r="DI13" i="11"/>
  <c r="DJ13" i="11"/>
  <c r="DK13" i="11"/>
  <c r="DL13" i="11"/>
  <c r="DM13" i="11"/>
  <c r="DN13" i="11"/>
  <c r="DO13" i="11"/>
  <c r="DP13" i="11"/>
  <c r="DQ13" i="11"/>
  <c r="DR13" i="11"/>
  <c r="DS13" i="11"/>
  <c r="DT13" i="11"/>
  <c r="DU13" i="11"/>
  <c r="DV13" i="11"/>
  <c r="DW13" i="11"/>
  <c r="DX13" i="11"/>
  <c r="DY13" i="11"/>
  <c r="DZ13" i="11"/>
  <c r="EA13" i="11"/>
  <c r="EB13" i="11"/>
  <c r="EC13" i="11"/>
  <c r="ED13" i="11"/>
  <c r="EE13" i="11"/>
  <c r="EF13" i="11"/>
  <c r="EG13" i="11"/>
  <c r="EH13" i="11"/>
  <c r="EI13" i="11"/>
  <c r="EJ13" i="11"/>
  <c r="EK13" i="11"/>
  <c r="EL13" i="11"/>
  <c r="EM13" i="11"/>
  <c r="EN13" i="11"/>
  <c r="EO13" i="11"/>
  <c r="EP13" i="11"/>
  <c r="EQ13" i="11"/>
  <c r="ER13" i="11"/>
  <c r="ES13" i="11"/>
  <c r="ET13" i="11"/>
  <c r="EU13" i="11"/>
  <c r="EV13" i="11"/>
  <c r="EW13" i="11"/>
  <c r="EX13" i="11"/>
  <c r="EY13" i="11"/>
  <c r="EZ13" i="11"/>
  <c r="FA13" i="11"/>
  <c r="FB13" i="11"/>
  <c r="FC13" i="11"/>
  <c r="FD13" i="11"/>
  <c r="FE13" i="11"/>
  <c r="FF13" i="11"/>
  <c r="FG13" i="11"/>
  <c r="FH13" i="11"/>
  <c r="FI13" i="11"/>
  <c r="FJ13" i="11"/>
  <c r="FK13" i="11"/>
  <c r="FL13" i="11"/>
  <c r="FM13" i="11"/>
  <c r="FN13" i="11"/>
  <c r="FO13" i="11"/>
  <c r="FP13" i="11"/>
  <c r="FQ13" i="11"/>
  <c r="FR13" i="11"/>
  <c r="FS13" i="11"/>
  <c r="FT13" i="11"/>
  <c r="FU13" i="11"/>
  <c r="FV13" i="11"/>
  <c r="FW13" i="11"/>
  <c r="FX13" i="11"/>
  <c r="FY13" i="11"/>
  <c r="FZ13" i="11"/>
  <c r="GA13" i="11"/>
  <c r="GB13" i="11"/>
  <c r="GC13" i="11"/>
  <c r="GD13" i="11"/>
  <c r="GE13" i="11"/>
  <c r="GF13" i="11"/>
  <c r="GG13" i="11"/>
  <c r="GH13" i="11"/>
  <c r="GI13" i="11"/>
  <c r="GJ13" i="11"/>
  <c r="GK13" i="11"/>
  <c r="GL13" i="11"/>
  <c r="GM13" i="11"/>
  <c r="GN13" i="11"/>
  <c r="GO13" i="11"/>
  <c r="GP13" i="11"/>
  <c r="GQ13" i="11"/>
  <c r="GR13" i="11"/>
  <c r="GS13" i="11"/>
  <c r="GT13" i="11"/>
  <c r="GU13" i="11"/>
  <c r="GV13" i="11"/>
  <c r="GW13" i="11"/>
  <c r="GX13" i="11"/>
  <c r="GY13" i="11"/>
  <c r="GZ13" i="11"/>
  <c r="HA13" i="11"/>
  <c r="HB13" i="11"/>
  <c r="HC13" i="11"/>
  <c r="HD13" i="11"/>
  <c r="HE13" i="11"/>
  <c r="HF13" i="11"/>
  <c r="HG13" i="11"/>
  <c r="HH13" i="11"/>
  <c r="HI13" i="11"/>
  <c r="HJ13" i="11"/>
  <c r="HK13" i="11"/>
  <c r="HL13" i="11"/>
  <c r="HM13" i="11"/>
  <c r="HN13" i="11"/>
  <c r="HO13" i="11"/>
  <c r="HP13" i="11"/>
  <c r="HQ13" i="11"/>
  <c r="HR13" i="11"/>
  <c r="HS13" i="11"/>
  <c r="HT13" i="11"/>
  <c r="HU13" i="11"/>
  <c r="HV13" i="11"/>
  <c r="HW13" i="11"/>
  <c r="HX13" i="11"/>
  <c r="HY13" i="11"/>
  <c r="HZ13" i="11"/>
  <c r="IA13" i="11"/>
  <c r="IB13" i="11"/>
  <c r="IC13" i="11"/>
  <c r="ID13" i="11"/>
  <c r="IE13" i="11"/>
  <c r="IF13" i="11"/>
  <c r="IG13" i="11"/>
  <c r="IH13" i="11"/>
  <c r="II13" i="11"/>
  <c r="IJ13" i="11"/>
  <c r="IK13" i="11"/>
  <c r="IL13" i="11"/>
  <c r="IM13" i="11"/>
  <c r="IN13" i="11"/>
  <c r="IO13" i="11"/>
  <c r="IP13" i="11"/>
  <c r="IQ13" i="11"/>
  <c r="IR13" i="11"/>
  <c r="IS13" i="11"/>
  <c r="IT13" i="11"/>
  <c r="IU13" i="11"/>
  <c r="IV13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BP12" i="11"/>
  <c r="BQ12" i="11"/>
  <c r="BR12" i="11"/>
  <c r="BS12" i="11"/>
  <c r="BT12" i="11"/>
  <c r="BU12" i="11"/>
  <c r="BV12" i="11"/>
  <c r="BW12" i="11"/>
  <c r="BX12" i="11"/>
  <c r="BY12" i="11"/>
  <c r="BZ12" i="11"/>
  <c r="CA12" i="11"/>
  <c r="CB12" i="11"/>
  <c r="CC12" i="11"/>
  <c r="CD12" i="11"/>
  <c r="CE12" i="11"/>
  <c r="CF12" i="11"/>
  <c r="CG12" i="11"/>
  <c r="CH12" i="11"/>
  <c r="CI12" i="11"/>
  <c r="CJ12" i="11"/>
  <c r="CK12" i="11"/>
  <c r="CL12" i="11"/>
  <c r="CM12" i="11"/>
  <c r="CN12" i="11"/>
  <c r="CO12" i="11"/>
  <c r="CP12" i="11"/>
  <c r="CQ12" i="11"/>
  <c r="CR12" i="11"/>
  <c r="CS12" i="11"/>
  <c r="CT12" i="11"/>
  <c r="CU12" i="11"/>
  <c r="CV12" i="11"/>
  <c r="CW12" i="11"/>
  <c r="CX12" i="11"/>
  <c r="CY12" i="11"/>
  <c r="CZ12" i="11"/>
  <c r="DA12" i="11"/>
  <c r="DB12" i="11"/>
  <c r="DC12" i="11"/>
  <c r="DD12" i="11"/>
  <c r="DE12" i="11"/>
  <c r="DF12" i="11"/>
  <c r="DG12" i="11"/>
  <c r="DH12" i="11"/>
  <c r="DI12" i="11"/>
  <c r="DJ12" i="11"/>
  <c r="DK12" i="11"/>
  <c r="DL12" i="11"/>
  <c r="DM12" i="11"/>
  <c r="DN12" i="11"/>
  <c r="DO12" i="11"/>
  <c r="DP12" i="11"/>
  <c r="DQ12" i="11"/>
  <c r="DR12" i="11"/>
  <c r="DS12" i="11"/>
  <c r="DT12" i="11"/>
  <c r="DU12" i="11"/>
  <c r="DV12" i="11"/>
  <c r="DW12" i="11"/>
  <c r="DX12" i="11"/>
  <c r="DY12" i="11"/>
  <c r="DZ12" i="11"/>
  <c r="EA12" i="11"/>
  <c r="EB12" i="11"/>
  <c r="EC12" i="11"/>
  <c r="ED12" i="11"/>
  <c r="EE12" i="11"/>
  <c r="EF12" i="11"/>
  <c r="EG12" i="11"/>
  <c r="EH12" i="11"/>
  <c r="EI12" i="11"/>
  <c r="EJ12" i="11"/>
  <c r="EK12" i="11"/>
  <c r="EL12" i="11"/>
  <c r="EM12" i="11"/>
  <c r="EN12" i="11"/>
  <c r="EO12" i="11"/>
  <c r="EP12" i="11"/>
  <c r="EQ12" i="11"/>
  <c r="ER12" i="11"/>
  <c r="ES12" i="11"/>
  <c r="ET12" i="11"/>
  <c r="EU12" i="11"/>
  <c r="EV12" i="11"/>
  <c r="EW12" i="11"/>
  <c r="EX12" i="11"/>
  <c r="EY12" i="11"/>
  <c r="EZ12" i="11"/>
  <c r="FA12" i="11"/>
  <c r="FB12" i="11"/>
  <c r="FC12" i="11"/>
  <c r="FD12" i="11"/>
  <c r="FE12" i="11"/>
  <c r="FF12" i="11"/>
  <c r="FG12" i="11"/>
  <c r="FH12" i="11"/>
  <c r="FI12" i="11"/>
  <c r="FJ12" i="11"/>
  <c r="FK12" i="11"/>
  <c r="FL12" i="11"/>
  <c r="FM12" i="11"/>
  <c r="FN12" i="11"/>
  <c r="FO12" i="11"/>
  <c r="FP12" i="11"/>
  <c r="FQ12" i="11"/>
  <c r="FR12" i="11"/>
  <c r="FS12" i="11"/>
  <c r="FT12" i="11"/>
  <c r="FU12" i="11"/>
  <c r="FV12" i="11"/>
  <c r="FW12" i="11"/>
  <c r="FX12" i="11"/>
  <c r="FY12" i="11"/>
  <c r="FZ12" i="11"/>
  <c r="GA12" i="11"/>
  <c r="GB12" i="11"/>
  <c r="GC12" i="11"/>
  <c r="GD12" i="11"/>
  <c r="GE12" i="11"/>
  <c r="GF12" i="11"/>
  <c r="GG12" i="11"/>
  <c r="GH12" i="11"/>
  <c r="GI12" i="11"/>
  <c r="GJ12" i="11"/>
  <c r="GK12" i="11"/>
  <c r="GL12" i="11"/>
  <c r="GM12" i="11"/>
  <c r="GN12" i="11"/>
  <c r="GO12" i="11"/>
  <c r="GP12" i="11"/>
  <c r="GQ12" i="11"/>
  <c r="GR12" i="11"/>
  <c r="GS12" i="11"/>
  <c r="GT12" i="11"/>
  <c r="GU12" i="11"/>
  <c r="GV12" i="11"/>
  <c r="GW12" i="11"/>
  <c r="GX12" i="11"/>
  <c r="GY12" i="11"/>
  <c r="GZ12" i="11"/>
  <c r="HA12" i="11"/>
  <c r="HB12" i="11"/>
  <c r="HC12" i="11"/>
  <c r="HD12" i="11"/>
  <c r="HE12" i="11"/>
  <c r="HF12" i="11"/>
  <c r="HG12" i="11"/>
  <c r="HH12" i="11"/>
  <c r="HI12" i="11"/>
  <c r="HJ12" i="11"/>
  <c r="HK12" i="11"/>
  <c r="HL12" i="11"/>
  <c r="HM12" i="11"/>
  <c r="HN12" i="11"/>
  <c r="HO12" i="11"/>
  <c r="HP12" i="11"/>
  <c r="HQ12" i="11"/>
  <c r="HR12" i="11"/>
  <c r="HS12" i="11"/>
  <c r="HT12" i="11"/>
  <c r="HU12" i="11"/>
  <c r="HV12" i="11"/>
  <c r="HW12" i="11"/>
  <c r="HX12" i="11"/>
  <c r="HY12" i="11"/>
  <c r="HZ12" i="11"/>
  <c r="IA12" i="11"/>
  <c r="IB12" i="11"/>
  <c r="IC12" i="11"/>
  <c r="ID12" i="11"/>
  <c r="IE12" i="11"/>
  <c r="IF12" i="11"/>
  <c r="IG12" i="11"/>
  <c r="IH12" i="11"/>
  <c r="II12" i="11"/>
  <c r="IJ12" i="11"/>
  <c r="IK12" i="11"/>
  <c r="IL12" i="11"/>
  <c r="IM12" i="11"/>
  <c r="IN12" i="11"/>
  <c r="IO12" i="11"/>
  <c r="IP12" i="11"/>
  <c r="IQ12" i="11"/>
  <c r="IR12" i="11"/>
  <c r="IS12" i="11"/>
  <c r="IT12" i="11"/>
  <c r="IU12" i="11"/>
  <c r="IV12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BM11" i="11"/>
  <c r="BN11" i="11"/>
  <c r="BO11" i="11"/>
  <c r="BP11" i="11"/>
  <c r="BQ11" i="11"/>
  <c r="BR11" i="11"/>
  <c r="BS11" i="11"/>
  <c r="BT11" i="11"/>
  <c r="BU11" i="11"/>
  <c r="BV11" i="11"/>
  <c r="BW11" i="11"/>
  <c r="BX11" i="11"/>
  <c r="BY11" i="11"/>
  <c r="BZ11" i="11"/>
  <c r="CA11" i="11"/>
  <c r="CB11" i="11"/>
  <c r="CC11" i="11"/>
  <c r="CD11" i="11"/>
  <c r="CE11" i="11"/>
  <c r="CF11" i="11"/>
  <c r="CG11" i="11"/>
  <c r="CH11" i="11"/>
  <c r="CI11" i="11"/>
  <c r="CJ11" i="11"/>
  <c r="CK11" i="11"/>
  <c r="CL11" i="11"/>
  <c r="CM11" i="11"/>
  <c r="CN11" i="11"/>
  <c r="CO11" i="11"/>
  <c r="CP11" i="11"/>
  <c r="CQ11" i="11"/>
  <c r="CR11" i="11"/>
  <c r="CS11" i="11"/>
  <c r="CT11" i="11"/>
  <c r="CU11" i="11"/>
  <c r="CV11" i="11"/>
  <c r="CW11" i="11"/>
  <c r="CX11" i="11"/>
  <c r="CY11" i="11"/>
  <c r="CZ11" i="11"/>
  <c r="DA11" i="11"/>
  <c r="DB11" i="11"/>
  <c r="DC11" i="11"/>
  <c r="DD11" i="11"/>
  <c r="DE11" i="11"/>
  <c r="DF11" i="11"/>
  <c r="DG11" i="11"/>
  <c r="DH11" i="11"/>
  <c r="DI11" i="11"/>
  <c r="DJ11" i="11"/>
  <c r="DK11" i="11"/>
  <c r="DL11" i="11"/>
  <c r="DM11" i="11"/>
  <c r="DN11" i="11"/>
  <c r="DO11" i="11"/>
  <c r="DP11" i="11"/>
  <c r="DQ11" i="11"/>
  <c r="DR11" i="11"/>
  <c r="DS11" i="11"/>
  <c r="DT11" i="11"/>
  <c r="DU11" i="11"/>
  <c r="DV11" i="11"/>
  <c r="DW11" i="11"/>
  <c r="DX11" i="11"/>
  <c r="DY11" i="11"/>
  <c r="DZ11" i="11"/>
  <c r="EA11" i="11"/>
  <c r="EB11" i="11"/>
  <c r="EC11" i="11"/>
  <c r="ED11" i="11"/>
  <c r="EE11" i="11"/>
  <c r="EF11" i="11"/>
  <c r="EG11" i="11"/>
  <c r="EH11" i="11"/>
  <c r="EI11" i="11"/>
  <c r="EJ11" i="11"/>
  <c r="EK11" i="11"/>
  <c r="EL11" i="11"/>
  <c r="EM11" i="11"/>
  <c r="EN11" i="11"/>
  <c r="EO11" i="11"/>
  <c r="EP11" i="11"/>
  <c r="EQ11" i="11"/>
  <c r="ER11" i="11"/>
  <c r="ES11" i="11"/>
  <c r="ET11" i="11"/>
  <c r="EU11" i="11"/>
  <c r="EV11" i="11"/>
  <c r="EW11" i="11"/>
  <c r="EX11" i="11"/>
  <c r="EY11" i="11"/>
  <c r="EZ11" i="11"/>
  <c r="FA11" i="11"/>
  <c r="FB11" i="11"/>
  <c r="FC11" i="11"/>
  <c r="FD11" i="11"/>
  <c r="FE11" i="11"/>
  <c r="FF11" i="11"/>
  <c r="FG11" i="11"/>
  <c r="FH11" i="11"/>
  <c r="FI11" i="11"/>
  <c r="FJ11" i="11"/>
  <c r="FK11" i="11"/>
  <c r="FL11" i="11"/>
  <c r="FM11" i="11"/>
  <c r="FN11" i="11"/>
  <c r="FO11" i="11"/>
  <c r="FP11" i="11"/>
  <c r="FQ11" i="11"/>
  <c r="FR11" i="11"/>
  <c r="FS11" i="11"/>
  <c r="FT11" i="11"/>
  <c r="FU11" i="11"/>
  <c r="FV11" i="11"/>
  <c r="FW11" i="11"/>
  <c r="FX11" i="11"/>
  <c r="FY11" i="11"/>
  <c r="FZ11" i="11"/>
  <c r="GA11" i="11"/>
  <c r="GB11" i="11"/>
  <c r="GC11" i="11"/>
  <c r="GD11" i="11"/>
  <c r="GE11" i="11"/>
  <c r="GF11" i="11"/>
  <c r="GG11" i="11"/>
  <c r="GH11" i="11"/>
  <c r="GI11" i="11"/>
  <c r="GJ11" i="11"/>
  <c r="GK11" i="11"/>
  <c r="GL11" i="11"/>
  <c r="GM11" i="11"/>
  <c r="GN11" i="11"/>
  <c r="GO11" i="11"/>
  <c r="GP11" i="11"/>
  <c r="GQ11" i="11"/>
  <c r="GR11" i="11"/>
  <c r="GS11" i="11"/>
  <c r="GT11" i="11"/>
  <c r="GU11" i="11"/>
  <c r="GV11" i="11"/>
  <c r="GW11" i="11"/>
  <c r="GX11" i="11"/>
  <c r="GY11" i="11"/>
  <c r="GZ11" i="11"/>
  <c r="HA11" i="11"/>
  <c r="HB11" i="11"/>
  <c r="HC11" i="11"/>
  <c r="HD11" i="11"/>
  <c r="HE11" i="11"/>
  <c r="HF11" i="11"/>
  <c r="HG11" i="11"/>
  <c r="HH11" i="11"/>
  <c r="HI11" i="11"/>
  <c r="HJ11" i="11"/>
  <c r="HK11" i="11"/>
  <c r="HL11" i="11"/>
  <c r="HM11" i="11"/>
  <c r="HN11" i="11"/>
  <c r="HO11" i="11"/>
  <c r="HP11" i="11"/>
  <c r="HQ11" i="11"/>
  <c r="HR11" i="11"/>
  <c r="HS11" i="11"/>
  <c r="HT11" i="11"/>
  <c r="HU11" i="11"/>
  <c r="HV11" i="11"/>
  <c r="HW11" i="11"/>
  <c r="HX11" i="11"/>
  <c r="HY11" i="11"/>
  <c r="HZ11" i="11"/>
  <c r="IA11" i="11"/>
  <c r="IB11" i="11"/>
  <c r="IC11" i="11"/>
  <c r="ID11" i="11"/>
  <c r="IE11" i="11"/>
  <c r="IF11" i="11"/>
  <c r="IG11" i="11"/>
  <c r="IH11" i="11"/>
  <c r="II11" i="11"/>
  <c r="IJ11" i="11"/>
  <c r="IK11" i="11"/>
  <c r="IN11" i="11"/>
  <c r="IO11" i="11"/>
  <c r="IP11" i="11"/>
  <c r="IQ11" i="11"/>
  <c r="IR11" i="11"/>
  <c r="IS11" i="11"/>
  <c r="IT11" i="11"/>
  <c r="IU11" i="11"/>
  <c r="IV11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X10" i="11"/>
  <c r="AY10" i="11"/>
  <c r="AZ10" i="11"/>
  <c r="BA10" i="11"/>
  <c r="BB10" i="11"/>
  <c r="BC10" i="11"/>
  <c r="BD10" i="11"/>
  <c r="BE10" i="11"/>
  <c r="BF10" i="11"/>
  <c r="BG10" i="11"/>
  <c r="BH10" i="11"/>
  <c r="BI10" i="11"/>
  <c r="BJ10" i="11"/>
  <c r="BK10" i="11"/>
  <c r="BL10" i="11"/>
  <c r="BM10" i="11"/>
  <c r="BN10" i="11"/>
  <c r="BO10" i="11"/>
  <c r="BP10" i="11"/>
  <c r="BQ10" i="11"/>
  <c r="BR10" i="11"/>
  <c r="BS10" i="11"/>
  <c r="BT10" i="11"/>
  <c r="BU10" i="11"/>
  <c r="BV10" i="11"/>
  <c r="BW10" i="11"/>
  <c r="BX10" i="11"/>
  <c r="BY10" i="11"/>
  <c r="BZ10" i="11"/>
  <c r="CA10" i="11"/>
  <c r="CB10" i="11"/>
  <c r="CC10" i="11"/>
  <c r="CD10" i="11"/>
  <c r="CE10" i="11"/>
  <c r="CF10" i="11"/>
  <c r="CG10" i="11"/>
  <c r="CH10" i="11"/>
  <c r="CI10" i="11"/>
  <c r="CJ10" i="11"/>
  <c r="CK10" i="11"/>
  <c r="CL10" i="11"/>
  <c r="CM10" i="11"/>
  <c r="CN10" i="11"/>
  <c r="CO10" i="11"/>
  <c r="CP10" i="11"/>
  <c r="CQ10" i="11"/>
  <c r="CR10" i="11"/>
  <c r="CS10" i="11"/>
  <c r="CT10" i="11"/>
  <c r="CU10" i="11"/>
  <c r="CV10" i="11"/>
  <c r="CW10" i="11"/>
  <c r="CX10" i="11"/>
  <c r="CY10" i="11"/>
  <c r="CZ10" i="11"/>
  <c r="DA10" i="11"/>
  <c r="DB10" i="11"/>
  <c r="DC10" i="11"/>
  <c r="DD10" i="11"/>
  <c r="DE10" i="11"/>
  <c r="DF10" i="11"/>
  <c r="DG10" i="11"/>
  <c r="DH10" i="11"/>
  <c r="DI10" i="11"/>
  <c r="DJ10" i="11"/>
  <c r="DK10" i="11"/>
  <c r="DL10" i="11"/>
  <c r="DM10" i="11"/>
  <c r="DN10" i="11"/>
  <c r="DO10" i="11"/>
  <c r="DP10" i="11"/>
  <c r="DQ10" i="11"/>
  <c r="DR10" i="11"/>
  <c r="DS10" i="11"/>
  <c r="DT10" i="11"/>
  <c r="DU10" i="11"/>
  <c r="DV10" i="11"/>
  <c r="DW10" i="11"/>
  <c r="DX10" i="11"/>
  <c r="DY10" i="11"/>
  <c r="DZ10" i="11"/>
  <c r="EA10" i="11"/>
  <c r="EB10" i="11"/>
  <c r="EC10" i="11"/>
  <c r="ED10" i="11"/>
  <c r="EE10" i="11"/>
  <c r="EF10" i="11"/>
  <c r="EG10" i="11"/>
  <c r="EH10" i="11"/>
  <c r="EI10" i="11"/>
  <c r="EJ10" i="11"/>
  <c r="EK10" i="11"/>
  <c r="EL10" i="11"/>
  <c r="EM10" i="11"/>
  <c r="EN10" i="11"/>
  <c r="EO10" i="11"/>
  <c r="EP10" i="11"/>
  <c r="EQ10" i="11"/>
  <c r="ER10" i="11"/>
  <c r="ES10" i="11"/>
  <c r="ET10" i="11"/>
  <c r="EU10" i="11"/>
  <c r="EV10" i="11"/>
  <c r="EW10" i="11"/>
  <c r="EX10" i="11"/>
  <c r="EY10" i="11"/>
  <c r="EZ10" i="11"/>
  <c r="FA10" i="11"/>
  <c r="FB10" i="11"/>
  <c r="FC10" i="11"/>
  <c r="FD10" i="11"/>
  <c r="FE10" i="11"/>
  <c r="FF10" i="11"/>
  <c r="FG10" i="11"/>
  <c r="FH10" i="11"/>
  <c r="FI10" i="11"/>
  <c r="FJ10" i="11"/>
  <c r="FK10" i="11"/>
  <c r="FL10" i="11"/>
  <c r="FM10" i="11"/>
  <c r="FN10" i="11"/>
  <c r="FO10" i="11"/>
  <c r="FP10" i="11"/>
  <c r="FQ10" i="11"/>
  <c r="FR10" i="11"/>
  <c r="FS10" i="11"/>
  <c r="FT10" i="11"/>
  <c r="FU10" i="11"/>
  <c r="FV10" i="11"/>
  <c r="FW10" i="11"/>
  <c r="FX10" i="11"/>
  <c r="FY10" i="11"/>
  <c r="FZ10" i="11"/>
  <c r="GA10" i="11"/>
  <c r="GB10" i="11"/>
  <c r="GC10" i="11"/>
  <c r="GD10" i="11"/>
  <c r="GE10" i="11"/>
  <c r="GF10" i="11"/>
  <c r="GG10" i="11"/>
  <c r="GH10" i="11"/>
  <c r="GI10" i="11"/>
  <c r="GJ10" i="11"/>
  <c r="GK10" i="11"/>
  <c r="GL10" i="11"/>
  <c r="GM10" i="11"/>
  <c r="GN10" i="11"/>
  <c r="GO10" i="11"/>
  <c r="GP10" i="11"/>
  <c r="GQ10" i="11"/>
  <c r="GR10" i="11"/>
  <c r="GS10" i="11"/>
  <c r="GT10" i="11"/>
  <c r="GU10" i="11"/>
  <c r="GV10" i="11"/>
  <c r="GW10" i="11"/>
  <c r="GX10" i="11"/>
  <c r="GY10" i="11"/>
  <c r="GZ10" i="11"/>
  <c r="HA10" i="11"/>
  <c r="HB10" i="11"/>
  <c r="HC10" i="11"/>
  <c r="HD10" i="11"/>
  <c r="HE10" i="11"/>
  <c r="HF10" i="11"/>
  <c r="HG10" i="11"/>
  <c r="HH10" i="11"/>
  <c r="HI10" i="11"/>
  <c r="HJ10" i="11"/>
  <c r="HK10" i="11"/>
  <c r="HL10" i="11"/>
  <c r="HM10" i="11"/>
  <c r="HN10" i="11"/>
  <c r="HO10" i="11"/>
  <c r="HP10" i="11"/>
  <c r="HQ10" i="11"/>
  <c r="HR10" i="11"/>
  <c r="HS10" i="11"/>
  <c r="HT10" i="11"/>
  <c r="HU10" i="11"/>
  <c r="HV10" i="11"/>
  <c r="HW10" i="11"/>
  <c r="HX10" i="11"/>
  <c r="HY10" i="11"/>
  <c r="HZ10" i="11"/>
  <c r="IA10" i="11"/>
  <c r="IB10" i="11"/>
  <c r="IC10" i="11"/>
  <c r="ID10" i="11"/>
  <c r="IE10" i="11"/>
  <c r="IF10" i="11"/>
  <c r="IG10" i="11"/>
  <c r="IH10" i="11"/>
  <c r="II10" i="11"/>
  <c r="IJ10" i="11"/>
  <c r="IK10" i="11"/>
  <c r="IL10" i="11"/>
  <c r="IM10" i="11"/>
  <c r="IN10" i="11"/>
  <c r="IO10" i="11"/>
  <c r="IP10" i="11"/>
  <c r="IQ10" i="11"/>
  <c r="IR10" i="11"/>
  <c r="IS10" i="11"/>
  <c r="IT10" i="11"/>
  <c r="IU10" i="11"/>
  <c r="IV10" i="11"/>
  <c r="A9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BB9" i="11"/>
  <c r="BC9" i="11"/>
  <c r="BD9" i="11"/>
  <c r="BE9" i="11"/>
  <c r="BF9" i="11"/>
  <c r="BG9" i="11"/>
  <c r="BH9" i="11"/>
  <c r="BI9" i="11"/>
  <c r="BJ9" i="11"/>
  <c r="BK9" i="11"/>
  <c r="BL9" i="11"/>
  <c r="BM9" i="11"/>
  <c r="BN9" i="11"/>
  <c r="BO9" i="11"/>
  <c r="BP9" i="11"/>
  <c r="BQ9" i="11"/>
  <c r="BR9" i="11"/>
  <c r="BS9" i="11"/>
  <c r="BT9" i="11"/>
  <c r="BU9" i="11"/>
  <c r="BV9" i="11"/>
  <c r="BW9" i="11"/>
  <c r="BX9" i="11"/>
  <c r="BY9" i="11"/>
  <c r="BZ9" i="11"/>
  <c r="CA9" i="11"/>
  <c r="CB9" i="11"/>
  <c r="CC9" i="11"/>
  <c r="CD9" i="11"/>
  <c r="CE9" i="11"/>
  <c r="CF9" i="11"/>
  <c r="CG9" i="11"/>
  <c r="CH9" i="11"/>
  <c r="CI9" i="11"/>
  <c r="CJ9" i="11"/>
  <c r="CK9" i="11"/>
  <c r="CL9" i="11"/>
  <c r="CM9" i="11"/>
  <c r="CN9" i="11"/>
  <c r="CO9" i="11"/>
  <c r="CP9" i="11"/>
  <c r="CQ9" i="11"/>
  <c r="CR9" i="11"/>
  <c r="CS9" i="11"/>
  <c r="CT9" i="11"/>
  <c r="CU9" i="11"/>
  <c r="CV9" i="11"/>
  <c r="CW9" i="11"/>
  <c r="CX9" i="11"/>
  <c r="CY9" i="11"/>
  <c r="CZ9" i="11"/>
  <c r="DA9" i="11"/>
  <c r="DB9" i="11"/>
  <c r="DC9" i="11"/>
  <c r="DD9" i="11"/>
  <c r="DE9" i="11"/>
  <c r="DF9" i="11"/>
  <c r="DG9" i="11"/>
  <c r="DH9" i="11"/>
  <c r="DI9" i="11"/>
  <c r="DJ9" i="11"/>
  <c r="DK9" i="11"/>
  <c r="DL9" i="11"/>
  <c r="DM9" i="11"/>
  <c r="DN9" i="11"/>
  <c r="DO9" i="11"/>
  <c r="DP9" i="11"/>
  <c r="DQ9" i="11"/>
  <c r="DR9" i="11"/>
  <c r="DS9" i="11"/>
  <c r="DT9" i="11"/>
  <c r="DU9" i="11"/>
  <c r="DV9" i="11"/>
  <c r="DW9" i="11"/>
  <c r="DX9" i="11"/>
  <c r="DY9" i="11"/>
  <c r="DZ9" i="11"/>
  <c r="EA9" i="11"/>
  <c r="EB9" i="11"/>
  <c r="EC9" i="11"/>
  <c r="ED9" i="11"/>
  <c r="EE9" i="11"/>
  <c r="EF9" i="11"/>
  <c r="EG9" i="11"/>
  <c r="EH9" i="11"/>
  <c r="EI9" i="11"/>
  <c r="EJ9" i="11"/>
  <c r="EK9" i="11"/>
  <c r="EL9" i="11"/>
  <c r="EM9" i="11"/>
  <c r="EN9" i="11"/>
  <c r="EO9" i="11"/>
  <c r="EP9" i="11"/>
  <c r="EQ9" i="11"/>
  <c r="ER9" i="11"/>
  <c r="ES9" i="11"/>
  <c r="ET9" i="11"/>
  <c r="EU9" i="11"/>
  <c r="EV9" i="11"/>
  <c r="EW9" i="11"/>
  <c r="EX9" i="11"/>
  <c r="EY9" i="11"/>
  <c r="EZ9" i="11"/>
  <c r="FA9" i="11"/>
  <c r="FB9" i="11"/>
  <c r="FC9" i="11"/>
  <c r="FD9" i="11"/>
  <c r="FE9" i="11"/>
  <c r="FF9" i="11"/>
  <c r="FG9" i="11"/>
  <c r="FH9" i="11"/>
  <c r="FI9" i="11"/>
  <c r="FJ9" i="11"/>
  <c r="FK9" i="11"/>
  <c r="FL9" i="11"/>
  <c r="FM9" i="11"/>
  <c r="FN9" i="11"/>
  <c r="FO9" i="11"/>
  <c r="FP9" i="11"/>
  <c r="FQ9" i="11"/>
  <c r="FR9" i="11"/>
  <c r="FS9" i="11"/>
  <c r="FT9" i="11"/>
  <c r="FU9" i="11"/>
  <c r="FV9" i="11"/>
  <c r="FW9" i="11"/>
  <c r="FX9" i="11"/>
  <c r="FY9" i="11"/>
  <c r="FZ9" i="11"/>
  <c r="GA9" i="11"/>
  <c r="GB9" i="11"/>
  <c r="GC9" i="11"/>
  <c r="GD9" i="11"/>
  <c r="GE9" i="11"/>
  <c r="GF9" i="11"/>
  <c r="GG9" i="11"/>
  <c r="GH9" i="11"/>
  <c r="GI9" i="11"/>
  <c r="GJ9" i="11"/>
  <c r="GK9" i="11"/>
  <c r="GL9" i="11"/>
  <c r="GM9" i="11"/>
  <c r="GN9" i="11"/>
  <c r="GO9" i="11"/>
  <c r="GP9" i="11"/>
  <c r="GQ9" i="11"/>
  <c r="GR9" i="11"/>
  <c r="GS9" i="11"/>
  <c r="GT9" i="11"/>
  <c r="GU9" i="11"/>
  <c r="GV9" i="11"/>
  <c r="GW9" i="11"/>
  <c r="GX9" i="11"/>
  <c r="GY9" i="11"/>
  <c r="GZ9" i="11"/>
  <c r="HA9" i="11"/>
  <c r="HB9" i="11"/>
  <c r="HC9" i="11"/>
  <c r="HD9" i="11"/>
  <c r="HE9" i="11"/>
  <c r="HF9" i="11"/>
  <c r="HG9" i="11"/>
  <c r="HH9" i="11"/>
  <c r="HI9" i="11"/>
  <c r="HJ9" i="11"/>
  <c r="HK9" i="11"/>
  <c r="HL9" i="11"/>
  <c r="HM9" i="11"/>
  <c r="HN9" i="11"/>
  <c r="HO9" i="11"/>
  <c r="HP9" i="11"/>
  <c r="HQ9" i="11"/>
  <c r="HR9" i="11"/>
  <c r="HS9" i="11"/>
  <c r="HT9" i="11"/>
  <c r="HU9" i="11"/>
  <c r="HV9" i="11"/>
  <c r="HW9" i="11"/>
  <c r="HX9" i="11"/>
  <c r="HY9" i="11"/>
  <c r="HZ9" i="11"/>
  <c r="IA9" i="11"/>
  <c r="IB9" i="11"/>
  <c r="IC9" i="11"/>
  <c r="ID9" i="11"/>
  <c r="IE9" i="11"/>
  <c r="IF9" i="11"/>
  <c r="IG9" i="11"/>
  <c r="IH9" i="11"/>
  <c r="II9" i="11"/>
  <c r="IJ9" i="11"/>
  <c r="IK9" i="11"/>
  <c r="IL9" i="11"/>
  <c r="IM9" i="11"/>
  <c r="IN9" i="11"/>
  <c r="IO9" i="11"/>
  <c r="IP9" i="11"/>
  <c r="IQ9" i="11"/>
  <c r="IR9" i="11"/>
  <c r="IS9" i="11"/>
  <c r="IT9" i="11"/>
  <c r="IU9" i="11"/>
  <c r="IV9" i="11"/>
  <c r="A8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BT8" i="11"/>
  <c r="BU8" i="11"/>
  <c r="BV8" i="11"/>
  <c r="BW8" i="11"/>
  <c r="BX8" i="11"/>
  <c r="BY8" i="11"/>
  <c r="BZ8" i="11"/>
  <c r="CA8" i="11"/>
  <c r="CB8" i="11"/>
  <c r="CC8" i="11"/>
  <c r="CD8" i="11"/>
  <c r="CE8" i="11"/>
  <c r="CF8" i="11"/>
  <c r="CG8" i="11"/>
  <c r="CH8" i="11"/>
  <c r="CI8" i="11"/>
  <c r="CJ8" i="11"/>
  <c r="CK8" i="11"/>
  <c r="CL8" i="11"/>
  <c r="CM8" i="11"/>
  <c r="CN8" i="11"/>
  <c r="CO8" i="11"/>
  <c r="CP8" i="11"/>
  <c r="CQ8" i="11"/>
  <c r="CR8" i="11"/>
  <c r="CS8" i="11"/>
  <c r="CT8" i="11"/>
  <c r="CU8" i="11"/>
  <c r="CV8" i="11"/>
  <c r="CW8" i="11"/>
  <c r="CX8" i="11"/>
  <c r="CY8" i="11"/>
  <c r="CZ8" i="11"/>
  <c r="DA8" i="11"/>
  <c r="DB8" i="11"/>
  <c r="DC8" i="11"/>
  <c r="DD8" i="11"/>
  <c r="DE8" i="11"/>
  <c r="DF8" i="11"/>
  <c r="DG8" i="11"/>
  <c r="DH8" i="11"/>
  <c r="DI8" i="11"/>
  <c r="DJ8" i="11"/>
  <c r="DK8" i="11"/>
  <c r="DL8" i="11"/>
  <c r="DM8" i="11"/>
  <c r="DN8" i="11"/>
  <c r="DO8" i="11"/>
  <c r="DP8" i="11"/>
  <c r="DQ8" i="11"/>
  <c r="DR8" i="11"/>
  <c r="DS8" i="11"/>
  <c r="DT8" i="11"/>
  <c r="DU8" i="11"/>
  <c r="DV8" i="11"/>
  <c r="DW8" i="11"/>
  <c r="DX8" i="11"/>
  <c r="DY8" i="11"/>
  <c r="DZ8" i="11"/>
  <c r="EA8" i="11"/>
  <c r="EB8" i="11"/>
  <c r="EC8" i="11"/>
  <c r="ED8" i="11"/>
  <c r="EE8" i="11"/>
  <c r="EF8" i="11"/>
  <c r="EG8" i="11"/>
  <c r="EH8" i="11"/>
  <c r="EI8" i="11"/>
  <c r="EJ8" i="11"/>
  <c r="EK8" i="11"/>
  <c r="EL8" i="11"/>
  <c r="EM8" i="11"/>
  <c r="EN8" i="11"/>
  <c r="EO8" i="11"/>
  <c r="EP8" i="11"/>
  <c r="EQ8" i="11"/>
  <c r="ER8" i="11"/>
  <c r="ES8" i="11"/>
  <c r="ET8" i="11"/>
  <c r="EU8" i="11"/>
  <c r="EV8" i="11"/>
  <c r="EW8" i="11"/>
  <c r="EX8" i="11"/>
  <c r="EY8" i="11"/>
  <c r="EZ8" i="11"/>
  <c r="FA8" i="11"/>
  <c r="FB8" i="11"/>
  <c r="FC8" i="11"/>
  <c r="FD8" i="11"/>
  <c r="FE8" i="11"/>
  <c r="FF8" i="11"/>
  <c r="FG8" i="11"/>
  <c r="FH8" i="11"/>
  <c r="FI8" i="11"/>
  <c r="FJ8" i="11"/>
  <c r="FK8" i="11"/>
  <c r="FL8" i="11"/>
  <c r="FM8" i="11"/>
  <c r="FN8" i="11"/>
  <c r="FO8" i="11"/>
  <c r="FP8" i="11"/>
  <c r="FQ8" i="11"/>
  <c r="FR8" i="11"/>
  <c r="FS8" i="11"/>
  <c r="FT8" i="11"/>
  <c r="FU8" i="11"/>
  <c r="FV8" i="11"/>
  <c r="FW8" i="11"/>
  <c r="FX8" i="11"/>
  <c r="FY8" i="11"/>
  <c r="FZ8" i="11"/>
  <c r="GA8" i="11"/>
  <c r="GB8" i="11"/>
  <c r="GC8" i="11"/>
  <c r="GD8" i="11"/>
  <c r="GE8" i="11"/>
  <c r="GF8" i="11"/>
  <c r="GG8" i="11"/>
  <c r="GH8" i="11"/>
  <c r="GI8" i="11"/>
  <c r="GJ8" i="11"/>
  <c r="GK8" i="11"/>
  <c r="GL8" i="11"/>
  <c r="GM8" i="11"/>
  <c r="GN8" i="11"/>
  <c r="GO8" i="11"/>
  <c r="GP8" i="11"/>
  <c r="GQ8" i="11"/>
  <c r="GR8" i="11"/>
  <c r="GS8" i="11"/>
  <c r="GT8" i="11"/>
  <c r="GU8" i="11"/>
  <c r="GV8" i="11"/>
  <c r="GW8" i="11"/>
  <c r="GX8" i="11"/>
  <c r="GY8" i="11"/>
  <c r="GZ8" i="11"/>
  <c r="HA8" i="11"/>
  <c r="HB8" i="11"/>
  <c r="HC8" i="11"/>
  <c r="HD8" i="11"/>
  <c r="HE8" i="11"/>
  <c r="HF8" i="11"/>
  <c r="HG8" i="11"/>
  <c r="HH8" i="11"/>
  <c r="HI8" i="11"/>
  <c r="HJ8" i="11"/>
  <c r="HK8" i="11"/>
  <c r="HL8" i="11"/>
  <c r="HM8" i="11"/>
  <c r="HN8" i="11"/>
  <c r="HO8" i="11"/>
  <c r="HP8" i="11"/>
  <c r="HQ8" i="11"/>
  <c r="HR8" i="11"/>
  <c r="HS8" i="11"/>
  <c r="HT8" i="11"/>
  <c r="HU8" i="11"/>
  <c r="HV8" i="11"/>
  <c r="HW8" i="11"/>
  <c r="HX8" i="11"/>
  <c r="HY8" i="11"/>
  <c r="HZ8" i="11"/>
  <c r="IA8" i="11"/>
  <c r="IB8" i="11"/>
  <c r="IC8" i="11"/>
  <c r="ID8" i="11"/>
  <c r="IE8" i="11"/>
  <c r="IF8" i="11"/>
  <c r="IG8" i="11"/>
  <c r="IH8" i="11"/>
  <c r="II8" i="11"/>
  <c r="IJ8" i="11"/>
  <c r="IK8" i="11"/>
  <c r="IL8" i="11"/>
  <c r="IM8" i="11"/>
  <c r="IN8" i="11"/>
  <c r="IO8" i="11"/>
  <c r="IP8" i="11"/>
  <c r="IQ8" i="11"/>
  <c r="IR8" i="11"/>
  <c r="IS8" i="11"/>
  <c r="IT8" i="11"/>
  <c r="IU8" i="11"/>
  <c r="IV8" i="11"/>
  <c r="A7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BT7" i="11"/>
  <c r="BU7" i="11"/>
  <c r="BV7" i="11"/>
  <c r="BW7" i="11"/>
  <c r="BX7" i="11"/>
  <c r="BY7" i="11"/>
  <c r="BZ7" i="11"/>
  <c r="CA7" i="11"/>
  <c r="CB7" i="11"/>
  <c r="CC7" i="11"/>
  <c r="CD7" i="11"/>
  <c r="CE7" i="11"/>
  <c r="CF7" i="11"/>
  <c r="CG7" i="11"/>
  <c r="CH7" i="11"/>
  <c r="CI7" i="11"/>
  <c r="CJ7" i="11"/>
  <c r="CK7" i="11"/>
  <c r="CL7" i="11"/>
  <c r="CM7" i="11"/>
  <c r="CN7" i="11"/>
  <c r="CO7" i="11"/>
  <c r="CP7" i="11"/>
  <c r="CQ7" i="11"/>
  <c r="CR7" i="11"/>
  <c r="CS7" i="11"/>
  <c r="CT7" i="11"/>
  <c r="CU7" i="11"/>
  <c r="CV7" i="11"/>
  <c r="CW7" i="11"/>
  <c r="CX7" i="11"/>
  <c r="CY7" i="11"/>
  <c r="CZ7" i="11"/>
  <c r="DA7" i="11"/>
  <c r="DB7" i="11"/>
  <c r="DC7" i="11"/>
  <c r="DD7" i="11"/>
  <c r="DE7" i="11"/>
  <c r="DF7" i="11"/>
  <c r="DG7" i="11"/>
  <c r="DH7" i="11"/>
  <c r="DI7" i="11"/>
  <c r="DJ7" i="11"/>
  <c r="DK7" i="11"/>
  <c r="DL7" i="11"/>
  <c r="DM7" i="11"/>
  <c r="DN7" i="11"/>
  <c r="DO7" i="11"/>
  <c r="DP7" i="11"/>
  <c r="DQ7" i="11"/>
  <c r="DR7" i="11"/>
  <c r="DS7" i="11"/>
  <c r="DT7" i="11"/>
  <c r="DU7" i="11"/>
  <c r="DV7" i="11"/>
  <c r="DW7" i="11"/>
  <c r="DX7" i="11"/>
  <c r="DY7" i="11"/>
  <c r="DZ7" i="11"/>
  <c r="EA7" i="11"/>
  <c r="EB7" i="11"/>
  <c r="EC7" i="11"/>
  <c r="ED7" i="11"/>
  <c r="EE7" i="11"/>
  <c r="EF7" i="11"/>
  <c r="EG7" i="11"/>
  <c r="EH7" i="11"/>
  <c r="EI7" i="11"/>
  <c r="EJ7" i="11"/>
  <c r="EK7" i="11"/>
  <c r="EL7" i="11"/>
  <c r="EM7" i="11"/>
  <c r="EN7" i="11"/>
  <c r="EO7" i="11"/>
  <c r="EP7" i="11"/>
  <c r="EQ7" i="11"/>
  <c r="ER7" i="11"/>
  <c r="ES7" i="11"/>
  <c r="ET7" i="11"/>
  <c r="EU7" i="11"/>
  <c r="EV7" i="11"/>
  <c r="EW7" i="11"/>
  <c r="EX7" i="11"/>
  <c r="EY7" i="11"/>
  <c r="EZ7" i="11"/>
  <c r="FA7" i="11"/>
  <c r="FB7" i="11"/>
  <c r="FC7" i="11"/>
  <c r="FD7" i="11"/>
  <c r="FE7" i="11"/>
  <c r="FF7" i="11"/>
  <c r="FG7" i="11"/>
  <c r="FH7" i="11"/>
  <c r="FI7" i="11"/>
  <c r="FJ7" i="11"/>
  <c r="FK7" i="11"/>
  <c r="FL7" i="11"/>
  <c r="FM7" i="11"/>
  <c r="FN7" i="11"/>
  <c r="FO7" i="11"/>
  <c r="FP7" i="11"/>
  <c r="FQ7" i="11"/>
  <c r="FR7" i="11"/>
  <c r="FS7" i="11"/>
  <c r="FT7" i="11"/>
  <c r="FU7" i="11"/>
  <c r="FV7" i="11"/>
  <c r="FW7" i="11"/>
  <c r="FX7" i="11"/>
  <c r="FY7" i="11"/>
  <c r="FZ7" i="11"/>
  <c r="GA7" i="11"/>
  <c r="GB7" i="11"/>
  <c r="GC7" i="11"/>
  <c r="GD7" i="11"/>
  <c r="GE7" i="11"/>
  <c r="GF7" i="11"/>
  <c r="GG7" i="11"/>
  <c r="GH7" i="11"/>
  <c r="GI7" i="11"/>
  <c r="GJ7" i="11"/>
  <c r="GK7" i="11"/>
  <c r="GL7" i="11"/>
  <c r="GM7" i="11"/>
  <c r="GN7" i="11"/>
  <c r="GO7" i="11"/>
  <c r="GP7" i="11"/>
  <c r="GQ7" i="11"/>
  <c r="GR7" i="11"/>
  <c r="GS7" i="11"/>
  <c r="GT7" i="11"/>
  <c r="GU7" i="11"/>
  <c r="GV7" i="11"/>
  <c r="GW7" i="11"/>
  <c r="GX7" i="11"/>
  <c r="GY7" i="11"/>
  <c r="GZ7" i="11"/>
  <c r="HA7" i="11"/>
  <c r="HB7" i="11"/>
  <c r="HC7" i="11"/>
  <c r="HD7" i="11"/>
  <c r="HE7" i="11"/>
  <c r="HF7" i="11"/>
  <c r="HG7" i="11"/>
  <c r="HH7" i="11"/>
  <c r="HI7" i="11"/>
  <c r="HJ7" i="11"/>
  <c r="HK7" i="11"/>
  <c r="HL7" i="11"/>
  <c r="HM7" i="11"/>
  <c r="HN7" i="11"/>
  <c r="HO7" i="11"/>
  <c r="HP7" i="11"/>
  <c r="HQ7" i="11"/>
  <c r="HR7" i="11"/>
  <c r="HS7" i="11"/>
  <c r="HT7" i="11"/>
  <c r="HU7" i="11"/>
  <c r="HV7" i="11"/>
  <c r="HW7" i="11"/>
  <c r="HX7" i="11"/>
  <c r="HY7" i="11"/>
  <c r="HZ7" i="11"/>
  <c r="IA7" i="11"/>
  <c r="IB7" i="11"/>
  <c r="IC7" i="11"/>
  <c r="ID7" i="11"/>
  <c r="IE7" i="11"/>
  <c r="IF7" i="11"/>
  <c r="IG7" i="11"/>
  <c r="IH7" i="11"/>
  <c r="II7" i="11"/>
  <c r="IJ7" i="11"/>
  <c r="IK7" i="11"/>
  <c r="IL7" i="11"/>
  <c r="IM7" i="11"/>
  <c r="IN7" i="11"/>
  <c r="IO7" i="11"/>
  <c r="IP7" i="11"/>
  <c r="IQ7" i="11"/>
  <c r="IR7" i="11"/>
  <c r="IS7" i="11"/>
  <c r="IT7" i="11"/>
  <c r="IU7" i="11"/>
  <c r="IV7" i="11"/>
  <c r="A6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BT6" i="11"/>
  <c r="BU6" i="11"/>
  <c r="BV6" i="11"/>
  <c r="BW6" i="11"/>
  <c r="BX6" i="11"/>
  <c r="BY6" i="11"/>
  <c r="BZ6" i="11"/>
  <c r="CA6" i="11"/>
  <c r="CB6" i="11"/>
  <c r="CC6" i="11"/>
  <c r="CD6" i="11"/>
  <c r="CE6" i="11"/>
  <c r="CF6" i="11"/>
  <c r="CG6" i="11"/>
  <c r="CH6" i="11"/>
  <c r="CI6" i="11"/>
  <c r="CJ6" i="11"/>
  <c r="CK6" i="11"/>
  <c r="CL6" i="11"/>
  <c r="CM6" i="11"/>
  <c r="CN6" i="11"/>
  <c r="CO6" i="11"/>
  <c r="CP6" i="11"/>
  <c r="CQ6" i="11"/>
  <c r="CR6" i="11"/>
  <c r="CS6" i="11"/>
  <c r="CT6" i="11"/>
  <c r="CU6" i="11"/>
  <c r="CV6" i="11"/>
  <c r="CW6" i="11"/>
  <c r="CX6" i="11"/>
  <c r="CY6" i="11"/>
  <c r="CZ6" i="11"/>
  <c r="DA6" i="11"/>
  <c r="DB6" i="11"/>
  <c r="DC6" i="11"/>
  <c r="DD6" i="11"/>
  <c r="DE6" i="11"/>
  <c r="DF6" i="11"/>
  <c r="DG6" i="11"/>
  <c r="DH6" i="11"/>
  <c r="DI6" i="11"/>
  <c r="DJ6" i="11"/>
  <c r="DK6" i="11"/>
  <c r="DL6" i="11"/>
  <c r="DM6" i="11"/>
  <c r="DN6" i="11"/>
  <c r="DO6" i="11"/>
  <c r="DP6" i="11"/>
  <c r="DQ6" i="11"/>
  <c r="DR6" i="11"/>
  <c r="DS6" i="11"/>
  <c r="DT6" i="11"/>
  <c r="DU6" i="11"/>
  <c r="DV6" i="11"/>
  <c r="DW6" i="11"/>
  <c r="DX6" i="11"/>
  <c r="DY6" i="11"/>
  <c r="DZ6" i="11"/>
  <c r="EA6" i="11"/>
  <c r="EB6" i="11"/>
  <c r="EC6" i="11"/>
  <c r="ED6" i="11"/>
  <c r="EE6" i="11"/>
  <c r="EF6" i="11"/>
  <c r="EG6" i="11"/>
  <c r="EH6" i="11"/>
  <c r="EI6" i="11"/>
  <c r="EJ6" i="11"/>
  <c r="EK6" i="11"/>
  <c r="EL6" i="11"/>
  <c r="EM6" i="11"/>
  <c r="EN6" i="11"/>
  <c r="EO6" i="11"/>
  <c r="EP6" i="11"/>
  <c r="EQ6" i="11"/>
  <c r="ER6" i="11"/>
  <c r="ES6" i="11"/>
  <c r="ET6" i="11"/>
  <c r="EU6" i="11"/>
  <c r="EV6" i="11"/>
  <c r="EW6" i="11"/>
  <c r="EX6" i="11"/>
  <c r="EY6" i="11"/>
  <c r="EZ6" i="11"/>
  <c r="FA6" i="11"/>
  <c r="FB6" i="11"/>
  <c r="FC6" i="11"/>
  <c r="FD6" i="11"/>
  <c r="FE6" i="11"/>
  <c r="FF6" i="11"/>
  <c r="FG6" i="11"/>
  <c r="FH6" i="11"/>
  <c r="FI6" i="11"/>
  <c r="FJ6" i="11"/>
  <c r="FK6" i="11"/>
  <c r="FL6" i="11"/>
  <c r="FM6" i="11"/>
  <c r="FN6" i="11"/>
  <c r="FO6" i="11"/>
  <c r="FP6" i="11"/>
  <c r="FQ6" i="11"/>
  <c r="FR6" i="11"/>
  <c r="FS6" i="11"/>
  <c r="FT6" i="11"/>
  <c r="FU6" i="11"/>
  <c r="FV6" i="11"/>
  <c r="FW6" i="11"/>
  <c r="FX6" i="11"/>
  <c r="FY6" i="11"/>
  <c r="FZ6" i="11"/>
  <c r="GA6" i="11"/>
  <c r="GB6" i="11"/>
  <c r="GC6" i="11"/>
  <c r="GD6" i="11"/>
  <c r="GE6" i="11"/>
  <c r="GF6" i="11"/>
  <c r="GG6" i="11"/>
  <c r="GH6" i="11"/>
  <c r="GI6" i="11"/>
  <c r="GJ6" i="11"/>
  <c r="GK6" i="11"/>
  <c r="GL6" i="11"/>
  <c r="GM6" i="11"/>
  <c r="GN6" i="11"/>
  <c r="GO6" i="11"/>
  <c r="GP6" i="11"/>
  <c r="GQ6" i="11"/>
  <c r="GR6" i="11"/>
  <c r="GS6" i="11"/>
  <c r="GT6" i="11"/>
  <c r="GU6" i="11"/>
  <c r="GV6" i="11"/>
  <c r="GW6" i="11"/>
  <c r="GX6" i="11"/>
  <c r="GY6" i="11"/>
  <c r="GZ6" i="11"/>
  <c r="HA6" i="11"/>
  <c r="HB6" i="11"/>
  <c r="HC6" i="11"/>
  <c r="HD6" i="11"/>
  <c r="HE6" i="11"/>
  <c r="HF6" i="11"/>
  <c r="HG6" i="11"/>
  <c r="HH6" i="11"/>
  <c r="HI6" i="11"/>
  <c r="HJ6" i="11"/>
  <c r="HK6" i="11"/>
  <c r="HL6" i="11"/>
  <c r="HM6" i="11"/>
  <c r="HN6" i="11"/>
  <c r="HO6" i="11"/>
  <c r="HP6" i="11"/>
  <c r="HQ6" i="11"/>
  <c r="HR6" i="11"/>
  <c r="HS6" i="11"/>
  <c r="HT6" i="11"/>
  <c r="HU6" i="11"/>
  <c r="HV6" i="11"/>
  <c r="HW6" i="11"/>
  <c r="HX6" i="11"/>
  <c r="HY6" i="11"/>
  <c r="HZ6" i="11"/>
  <c r="IA6" i="11"/>
  <c r="IB6" i="11"/>
  <c r="IC6" i="11"/>
  <c r="ID6" i="11"/>
  <c r="IE6" i="11"/>
  <c r="IF6" i="11"/>
  <c r="IG6" i="11"/>
  <c r="IH6" i="11"/>
  <c r="II6" i="11"/>
  <c r="IJ6" i="11"/>
  <c r="IK6" i="11"/>
  <c r="IL6" i="11"/>
  <c r="IM6" i="11"/>
  <c r="IN6" i="11"/>
  <c r="IO6" i="11"/>
  <c r="IP6" i="11"/>
  <c r="IQ6" i="11"/>
  <c r="IR6" i="11"/>
  <c r="IS6" i="11"/>
  <c r="IT6" i="11"/>
  <c r="IU6" i="11"/>
  <c r="IV6" i="11"/>
  <c r="A5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BT5" i="11"/>
  <c r="BU5" i="11"/>
  <c r="BV5" i="11"/>
  <c r="BW5" i="11"/>
  <c r="BX5" i="11"/>
  <c r="BY5" i="11"/>
  <c r="BZ5" i="11"/>
  <c r="CA5" i="11"/>
  <c r="CB5" i="11"/>
  <c r="CC5" i="11"/>
  <c r="CD5" i="11"/>
  <c r="CE5" i="11"/>
  <c r="CF5" i="11"/>
  <c r="CG5" i="11"/>
  <c r="CH5" i="11"/>
  <c r="CI5" i="11"/>
  <c r="CJ5" i="11"/>
  <c r="CK5" i="11"/>
  <c r="CL5" i="11"/>
  <c r="CM5" i="11"/>
  <c r="CN5" i="11"/>
  <c r="CO5" i="11"/>
  <c r="CP5" i="11"/>
  <c r="CQ5" i="11"/>
  <c r="CR5" i="11"/>
  <c r="CS5" i="11"/>
  <c r="CT5" i="11"/>
  <c r="CU5" i="11"/>
  <c r="CV5" i="11"/>
  <c r="CW5" i="11"/>
  <c r="CX5" i="11"/>
  <c r="CY5" i="11"/>
  <c r="CZ5" i="11"/>
  <c r="DA5" i="11"/>
  <c r="DB5" i="11"/>
  <c r="DC5" i="11"/>
  <c r="DD5" i="11"/>
  <c r="DE5" i="11"/>
  <c r="DF5" i="11"/>
  <c r="DG5" i="11"/>
  <c r="DH5" i="11"/>
  <c r="DI5" i="11"/>
  <c r="DJ5" i="11"/>
  <c r="DK5" i="11"/>
  <c r="DL5" i="11"/>
  <c r="DM5" i="11"/>
  <c r="DN5" i="11"/>
  <c r="DO5" i="11"/>
  <c r="DP5" i="11"/>
  <c r="DQ5" i="11"/>
  <c r="DR5" i="11"/>
  <c r="DS5" i="11"/>
  <c r="DT5" i="11"/>
  <c r="DU5" i="11"/>
  <c r="DV5" i="11"/>
  <c r="DW5" i="11"/>
  <c r="DX5" i="11"/>
  <c r="DY5" i="11"/>
  <c r="DZ5" i="11"/>
  <c r="EA5" i="11"/>
  <c r="EB5" i="11"/>
  <c r="EC5" i="11"/>
  <c r="ED5" i="11"/>
  <c r="EE5" i="11"/>
  <c r="EF5" i="11"/>
  <c r="EG5" i="11"/>
  <c r="EH5" i="11"/>
  <c r="EI5" i="11"/>
  <c r="EJ5" i="11"/>
  <c r="EK5" i="11"/>
  <c r="EL5" i="11"/>
  <c r="EM5" i="11"/>
  <c r="EN5" i="11"/>
  <c r="EO5" i="11"/>
  <c r="EP5" i="11"/>
  <c r="EQ5" i="11"/>
  <c r="ER5" i="11"/>
  <c r="ES5" i="11"/>
  <c r="ET5" i="11"/>
  <c r="EU5" i="11"/>
  <c r="EV5" i="11"/>
  <c r="EW5" i="11"/>
  <c r="EX5" i="11"/>
  <c r="EY5" i="11"/>
  <c r="EZ5" i="11"/>
  <c r="FA5" i="11"/>
  <c r="FB5" i="11"/>
  <c r="FC5" i="11"/>
  <c r="FD5" i="11"/>
  <c r="FE5" i="11"/>
  <c r="FF5" i="11"/>
  <c r="FG5" i="11"/>
  <c r="FH5" i="11"/>
  <c r="FI5" i="11"/>
  <c r="FJ5" i="11"/>
  <c r="FK5" i="11"/>
  <c r="FL5" i="11"/>
  <c r="FM5" i="11"/>
  <c r="FN5" i="11"/>
  <c r="FO5" i="11"/>
  <c r="FP5" i="11"/>
  <c r="FQ5" i="11"/>
  <c r="FR5" i="11"/>
  <c r="FS5" i="11"/>
  <c r="FT5" i="11"/>
  <c r="FU5" i="11"/>
  <c r="FV5" i="11"/>
  <c r="FW5" i="11"/>
  <c r="FX5" i="11"/>
  <c r="FY5" i="11"/>
  <c r="FZ5" i="11"/>
  <c r="GA5" i="11"/>
  <c r="GB5" i="11"/>
  <c r="GC5" i="11"/>
  <c r="GD5" i="11"/>
  <c r="GE5" i="11"/>
  <c r="GF5" i="11"/>
  <c r="GG5" i="11"/>
  <c r="GH5" i="11"/>
  <c r="GI5" i="11"/>
  <c r="GJ5" i="11"/>
  <c r="GK5" i="11"/>
  <c r="GL5" i="11"/>
  <c r="GM5" i="11"/>
  <c r="GN5" i="11"/>
  <c r="GO5" i="11"/>
  <c r="GP5" i="11"/>
  <c r="GQ5" i="11"/>
  <c r="GR5" i="11"/>
  <c r="GS5" i="11"/>
  <c r="GT5" i="11"/>
  <c r="GU5" i="11"/>
  <c r="GV5" i="11"/>
  <c r="GW5" i="11"/>
  <c r="GX5" i="11"/>
  <c r="GY5" i="11"/>
  <c r="GZ5" i="11"/>
  <c r="HA5" i="11"/>
  <c r="HB5" i="11"/>
  <c r="HC5" i="11"/>
  <c r="HD5" i="11"/>
  <c r="HE5" i="11"/>
  <c r="HF5" i="11"/>
  <c r="HG5" i="11"/>
  <c r="HH5" i="11"/>
  <c r="HI5" i="11"/>
  <c r="HJ5" i="11"/>
  <c r="HK5" i="11"/>
  <c r="HL5" i="11"/>
  <c r="HM5" i="11"/>
  <c r="HN5" i="11"/>
  <c r="HO5" i="11"/>
  <c r="HP5" i="11"/>
  <c r="HQ5" i="11"/>
  <c r="HR5" i="11"/>
  <c r="HS5" i="11"/>
  <c r="HT5" i="11"/>
  <c r="HU5" i="11"/>
  <c r="HV5" i="11"/>
  <c r="HW5" i="11"/>
  <c r="HX5" i="11"/>
  <c r="HY5" i="11"/>
  <c r="HZ5" i="11"/>
  <c r="IA5" i="11"/>
  <c r="IB5" i="11"/>
  <c r="IC5" i="11"/>
  <c r="ID5" i="11"/>
  <c r="IE5" i="11"/>
  <c r="IF5" i="11"/>
  <c r="IG5" i="11"/>
  <c r="IH5" i="11"/>
  <c r="II5" i="11"/>
  <c r="IJ5" i="11"/>
  <c r="IK5" i="11"/>
  <c r="IL5" i="11"/>
  <c r="IM5" i="11"/>
  <c r="IN5" i="11"/>
  <c r="IO5" i="11"/>
  <c r="IP5" i="11"/>
  <c r="IQ5" i="11"/>
  <c r="IR5" i="11"/>
  <c r="IS5" i="11"/>
  <c r="IT5" i="11"/>
  <c r="IU5" i="11"/>
  <c r="IV5" i="11"/>
  <c r="A4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BT4" i="11"/>
  <c r="BU4" i="11"/>
  <c r="BV4" i="11"/>
  <c r="BW4" i="11"/>
  <c r="BX4" i="11"/>
  <c r="BY4" i="11"/>
  <c r="BZ4" i="11"/>
  <c r="CA4" i="11"/>
  <c r="CB4" i="11"/>
  <c r="CC4" i="11"/>
  <c r="CD4" i="11"/>
  <c r="CE4" i="11"/>
  <c r="CF4" i="11"/>
  <c r="CG4" i="11"/>
  <c r="CH4" i="11"/>
  <c r="CI4" i="11"/>
  <c r="CJ4" i="11"/>
  <c r="CK4" i="11"/>
  <c r="CL4" i="11"/>
  <c r="CM4" i="11"/>
  <c r="CN4" i="11"/>
  <c r="CO4" i="11"/>
  <c r="CP4" i="11"/>
  <c r="CQ4" i="11"/>
  <c r="CR4" i="11"/>
  <c r="CS4" i="11"/>
  <c r="CT4" i="11"/>
  <c r="CU4" i="11"/>
  <c r="CV4" i="11"/>
  <c r="CW4" i="11"/>
  <c r="CX4" i="11"/>
  <c r="CY4" i="11"/>
  <c r="CZ4" i="11"/>
  <c r="DA4" i="11"/>
  <c r="DB4" i="11"/>
  <c r="DC4" i="11"/>
  <c r="DD4" i="11"/>
  <c r="DE4" i="11"/>
  <c r="DF4" i="11"/>
  <c r="DG4" i="11"/>
  <c r="DH4" i="11"/>
  <c r="DI4" i="11"/>
  <c r="DJ4" i="11"/>
  <c r="DK4" i="11"/>
  <c r="DL4" i="11"/>
  <c r="DM4" i="11"/>
  <c r="DN4" i="11"/>
  <c r="DO4" i="11"/>
  <c r="DP4" i="11"/>
  <c r="DQ4" i="11"/>
  <c r="DR4" i="11"/>
  <c r="DS4" i="11"/>
  <c r="DT4" i="11"/>
  <c r="DU4" i="11"/>
  <c r="DV4" i="11"/>
  <c r="DW4" i="11"/>
  <c r="DX4" i="11"/>
  <c r="DY4" i="11"/>
  <c r="DZ4" i="11"/>
  <c r="EA4" i="11"/>
  <c r="EB4" i="11"/>
  <c r="EC4" i="11"/>
  <c r="ED4" i="11"/>
  <c r="EE4" i="11"/>
  <c r="EF4" i="11"/>
  <c r="EG4" i="11"/>
  <c r="EH4" i="11"/>
  <c r="EI4" i="11"/>
  <c r="EJ4" i="11"/>
  <c r="EK4" i="11"/>
  <c r="EL4" i="11"/>
  <c r="EM4" i="11"/>
  <c r="EN4" i="11"/>
  <c r="EO4" i="11"/>
  <c r="EP4" i="11"/>
  <c r="EQ4" i="11"/>
  <c r="ER4" i="11"/>
  <c r="ES4" i="11"/>
  <c r="ET4" i="11"/>
  <c r="EU4" i="11"/>
  <c r="EV4" i="11"/>
  <c r="EW4" i="11"/>
  <c r="EX4" i="11"/>
  <c r="EY4" i="11"/>
  <c r="EZ4" i="11"/>
  <c r="FA4" i="11"/>
  <c r="FB4" i="11"/>
  <c r="FC4" i="11"/>
  <c r="FD4" i="11"/>
  <c r="FE4" i="11"/>
  <c r="FF4" i="11"/>
  <c r="FG4" i="11"/>
  <c r="FH4" i="11"/>
  <c r="FI4" i="11"/>
  <c r="FJ4" i="11"/>
  <c r="FK4" i="11"/>
  <c r="FL4" i="11"/>
  <c r="FM4" i="11"/>
  <c r="FN4" i="11"/>
  <c r="FO4" i="11"/>
  <c r="FP4" i="11"/>
  <c r="FQ4" i="11"/>
  <c r="FR4" i="11"/>
  <c r="FS4" i="11"/>
  <c r="FT4" i="11"/>
  <c r="FU4" i="11"/>
  <c r="FV4" i="11"/>
  <c r="FW4" i="11"/>
  <c r="FX4" i="11"/>
  <c r="FY4" i="11"/>
  <c r="FZ4" i="11"/>
  <c r="GA4" i="11"/>
  <c r="GB4" i="11"/>
  <c r="GC4" i="11"/>
  <c r="GD4" i="11"/>
  <c r="GE4" i="11"/>
  <c r="GF4" i="11"/>
  <c r="GG4" i="11"/>
  <c r="GH4" i="11"/>
  <c r="GI4" i="11"/>
  <c r="GJ4" i="11"/>
  <c r="GK4" i="11"/>
  <c r="GL4" i="11"/>
  <c r="GM4" i="11"/>
  <c r="GN4" i="11"/>
  <c r="GO4" i="11"/>
  <c r="GP4" i="11"/>
  <c r="GQ4" i="11"/>
  <c r="GR4" i="11"/>
  <c r="GS4" i="11"/>
  <c r="GT4" i="11"/>
  <c r="GU4" i="11"/>
  <c r="GV4" i="11"/>
  <c r="GW4" i="11"/>
  <c r="GX4" i="11"/>
  <c r="GY4" i="11"/>
  <c r="GZ4" i="11"/>
  <c r="HA4" i="11"/>
  <c r="HB4" i="11"/>
  <c r="HC4" i="11"/>
  <c r="HD4" i="11"/>
  <c r="HE4" i="11"/>
  <c r="HF4" i="11"/>
  <c r="HG4" i="11"/>
  <c r="HH4" i="11"/>
  <c r="HI4" i="11"/>
  <c r="HJ4" i="11"/>
  <c r="HK4" i="11"/>
  <c r="HL4" i="11"/>
  <c r="HM4" i="11"/>
  <c r="HN4" i="11"/>
  <c r="HO4" i="11"/>
  <c r="HP4" i="11"/>
  <c r="HQ4" i="11"/>
  <c r="HR4" i="11"/>
  <c r="HS4" i="11"/>
  <c r="HT4" i="11"/>
  <c r="HU4" i="11"/>
  <c r="HV4" i="11"/>
  <c r="HW4" i="11"/>
  <c r="HX4" i="11"/>
  <c r="HY4" i="11"/>
  <c r="HZ4" i="11"/>
  <c r="IA4" i="11"/>
  <c r="IB4" i="11"/>
  <c r="IC4" i="11"/>
  <c r="ID4" i="11"/>
  <c r="IE4" i="11"/>
  <c r="IF4" i="11"/>
  <c r="IG4" i="11"/>
  <c r="IH4" i="11"/>
  <c r="II4" i="11"/>
  <c r="IJ4" i="11"/>
  <c r="IK4" i="11"/>
  <c r="IL4" i="11"/>
  <c r="IM4" i="11"/>
  <c r="IN4" i="11"/>
  <c r="IO4" i="11"/>
  <c r="IP4" i="11"/>
  <c r="IQ4" i="11"/>
  <c r="IR4" i="11"/>
  <c r="IS4" i="11"/>
  <c r="IT4" i="11"/>
  <c r="IU4" i="11"/>
  <c r="IV4" i="11"/>
  <c r="A3" i="11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AK3" i="11"/>
  <c r="AL3" i="11"/>
  <c r="AM3" i="11"/>
  <c r="AN3" i="11"/>
  <c r="AO3" i="11"/>
  <c r="AP3" i="11"/>
  <c r="AQ3" i="11"/>
  <c r="AR3" i="11"/>
  <c r="AS3" i="11"/>
  <c r="AT3" i="11"/>
  <c r="AU3" i="11"/>
  <c r="AV3" i="11"/>
  <c r="AW3" i="11"/>
  <c r="AX3" i="11"/>
  <c r="AY3" i="11"/>
  <c r="AZ3" i="11"/>
  <c r="BA3" i="11"/>
  <c r="BB3" i="11"/>
  <c r="BC3" i="11"/>
  <c r="BD3" i="11"/>
  <c r="BE3" i="11"/>
  <c r="BF3" i="11"/>
  <c r="BG3" i="11"/>
  <c r="BH3" i="11"/>
  <c r="BI3" i="11"/>
  <c r="BJ3" i="11"/>
  <c r="BK3" i="11"/>
  <c r="BL3" i="11"/>
  <c r="BM3" i="11"/>
  <c r="BN3" i="11"/>
  <c r="BO3" i="11"/>
  <c r="BP3" i="11"/>
  <c r="BQ3" i="11"/>
  <c r="BR3" i="11"/>
  <c r="BS3" i="11"/>
  <c r="BT3" i="11"/>
  <c r="BU3" i="11"/>
  <c r="BV3" i="11"/>
  <c r="BW3" i="11"/>
  <c r="BX3" i="11"/>
  <c r="BY3" i="11"/>
  <c r="BZ3" i="11"/>
  <c r="CA3" i="11"/>
  <c r="CB3" i="11"/>
  <c r="CC3" i="11"/>
  <c r="CD3" i="11"/>
  <c r="CE3" i="11"/>
  <c r="CF3" i="11"/>
  <c r="CG3" i="11"/>
  <c r="CH3" i="11"/>
  <c r="CI3" i="11"/>
  <c r="CJ3" i="11"/>
  <c r="CK3" i="11"/>
  <c r="CL3" i="11"/>
  <c r="CM3" i="11"/>
  <c r="CN3" i="11"/>
  <c r="CO3" i="11"/>
  <c r="CP3" i="11"/>
  <c r="CQ3" i="11"/>
  <c r="CR3" i="11"/>
  <c r="CS3" i="11"/>
  <c r="CT3" i="11"/>
  <c r="CU3" i="11"/>
  <c r="CV3" i="11"/>
  <c r="CW3" i="11"/>
  <c r="CX3" i="11"/>
  <c r="CY3" i="11"/>
  <c r="CZ3" i="11"/>
  <c r="DA3" i="11"/>
  <c r="DB3" i="11"/>
  <c r="DC3" i="11"/>
  <c r="DD3" i="11"/>
  <c r="DE3" i="11"/>
  <c r="DF3" i="11"/>
  <c r="DG3" i="11"/>
  <c r="DH3" i="11"/>
  <c r="DI3" i="11"/>
  <c r="DJ3" i="11"/>
  <c r="DK3" i="11"/>
  <c r="DL3" i="11"/>
  <c r="DM3" i="11"/>
  <c r="DN3" i="11"/>
  <c r="DO3" i="11"/>
  <c r="DP3" i="11"/>
  <c r="DQ3" i="11"/>
  <c r="DR3" i="11"/>
  <c r="DS3" i="11"/>
  <c r="DT3" i="11"/>
  <c r="DU3" i="11"/>
  <c r="DV3" i="11"/>
  <c r="DW3" i="11"/>
  <c r="DX3" i="11"/>
  <c r="DY3" i="11"/>
  <c r="DZ3" i="11"/>
  <c r="EA3" i="11"/>
  <c r="EB3" i="11"/>
  <c r="EC3" i="11"/>
  <c r="ED3" i="11"/>
  <c r="EE3" i="11"/>
  <c r="EF3" i="11"/>
  <c r="EG3" i="11"/>
  <c r="EH3" i="11"/>
  <c r="EI3" i="11"/>
  <c r="EJ3" i="11"/>
  <c r="EK3" i="11"/>
  <c r="EL3" i="11"/>
  <c r="EM3" i="11"/>
  <c r="EN3" i="11"/>
  <c r="EO3" i="11"/>
  <c r="EP3" i="11"/>
  <c r="EQ3" i="11"/>
  <c r="ER3" i="11"/>
  <c r="ES3" i="11"/>
  <c r="ET3" i="11"/>
  <c r="EU3" i="11"/>
  <c r="EV3" i="11"/>
  <c r="EW3" i="11"/>
  <c r="EX3" i="11"/>
  <c r="EY3" i="11"/>
  <c r="EZ3" i="11"/>
  <c r="FA3" i="11"/>
  <c r="FB3" i="11"/>
  <c r="FC3" i="11"/>
  <c r="FD3" i="11"/>
  <c r="FE3" i="11"/>
  <c r="FF3" i="11"/>
  <c r="FG3" i="11"/>
  <c r="FH3" i="11"/>
  <c r="FI3" i="11"/>
  <c r="FJ3" i="11"/>
  <c r="FK3" i="11"/>
  <c r="FL3" i="11"/>
  <c r="FM3" i="11"/>
  <c r="FN3" i="11"/>
  <c r="FO3" i="11"/>
  <c r="FP3" i="11"/>
  <c r="FQ3" i="11"/>
  <c r="FR3" i="11"/>
  <c r="FS3" i="11"/>
  <c r="FT3" i="11"/>
  <c r="FU3" i="11"/>
  <c r="FV3" i="11"/>
  <c r="FW3" i="11"/>
  <c r="FX3" i="11"/>
  <c r="FY3" i="11"/>
  <c r="FZ3" i="11"/>
  <c r="GA3" i="11"/>
  <c r="GB3" i="11"/>
  <c r="GC3" i="11"/>
  <c r="GD3" i="11"/>
  <c r="GE3" i="11"/>
  <c r="GF3" i="11"/>
  <c r="GG3" i="11"/>
  <c r="GH3" i="11"/>
  <c r="GI3" i="11"/>
  <c r="GJ3" i="11"/>
  <c r="GK3" i="11"/>
  <c r="GL3" i="11"/>
  <c r="GM3" i="11"/>
  <c r="GN3" i="11"/>
  <c r="GO3" i="11"/>
  <c r="GP3" i="11"/>
  <c r="GQ3" i="11"/>
  <c r="GR3" i="11"/>
  <c r="GS3" i="11"/>
  <c r="GT3" i="11"/>
  <c r="GU3" i="11"/>
  <c r="GV3" i="11"/>
  <c r="GW3" i="11"/>
  <c r="GX3" i="11"/>
  <c r="GY3" i="11"/>
  <c r="GZ3" i="11"/>
  <c r="HA3" i="11"/>
  <c r="HB3" i="11"/>
  <c r="HC3" i="11"/>
  <c r="HD3" i="11"/>
  <c r="HE3" i="11"/>
  <c r="HF3" i="11"/>
  <c r="HG3" i="11"/>
  <c r="HH3" i="11"/>
  <c r="HI3" i="11"/>
  <c r="HJ3" i="11"/>
  <c r="HK3" i="11"/>
  <c r="HL3" i="11"/>
  <c r="HM3" i="11"/>
  <c r="HN3" i="11"/>
  <c r="HO3" i="11"/>
  <c r="HP3" i="11"/>
  <c r="HQ3" i="11"/>
  <c r="HR3" i="11"/>
  <c r="HS3" i="11"/>
  <c r="HT3" i="11"/>
  <c r="HU3" i="11"/>
  <c r="HV3" i="11"/>
  <c r="HW3" i="11"/>
  <c r="HX3" i="11"/>
  <c r="HY3" i="11"/>
  <c r="HZ3" i="11"/>
  <c r="IA3" i="11"/>
  <c r="IB3" i="11"/>
  <c r="IC3" i="11"/>
  <c r="ID3" i="11"/>
  <c r="IE3" i="11"/>
  <c r="IF3" i="11"/>
  <c r="IG3" i="11"/>
  <c r="IH3" i="11"/>
  <c r="II3" i="11"/>
  <c r="IJ3" i="11"/>
  <c r="IK3" i="11"/>
  <c r="IL3" i="11"/>
  <c r="IM3" i="11"/>
  <c r="IN3" i="11"/>
  <c r="IO3" i="11"/>
  <c r="IP3" i="11"/>
  <c r="IQ3" i="11"/>
  <c r="IR3" i="11"/>
  <c r="IS3" i="11"/>
  <c r="IT3" i="11"/>
  <c r="IU3" i="11"/>
  <c r="IV3" i="11"/>
  <c r="A2" i="11"/>
  <c r="B2" i="11"/>
  <c r="C2" i="11"/>
  <c r="D2" i="11"/>
  <c r="E2" i="11"/>
  <c r="F2" i="11"/>
  <c r="G2" i="11"/>
  <c r="H2" i="11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W2" i="11"/>
  <c r="X2" i="11"/>
  <c r="Y2" i="11"/>
  <c r="Z2" i="11"/>
  <c r="AA2" i="11"/>
  <c r="AB2" i="11"/>
  <c r="AC2" i="11"/>
  <c r="AD2" i="11"/>
  <c r="AE2" i="11"/>
  <c r="AF2" i="11"/>
  <c r="AG2" i="11"/>
  <c r="AH2" i="11"/>
  <c r="AI2" i="11"/>
  <c r="AJ2" i="11"/>
  <c r="AK2" i="11"/>
  <c r="AL2" i="11"/>
  <c r="AM2" i="11"/>
  <c r="AN2" i="11"/>
  <c r="AO2" i="11"/>
  <c r="AP2" i="11"/>
  <c r="AQ2" i="11"/>
  <c r="AR2" i="11"/>
  <c r="AS2" i="11"/>
  <c r="AT2" i="11"/>
  <c r="AU2" i="11"/>
  <c r="AV2" i="11"/>
  <c r="AW2" i="11"/>
  <c r="AX2" i="11"/>
  <c r="AY2" i="11"/>
  <c r="AZ2" i="11"/>
  <c r="BA2" i="11"/>
  <c r="BB2" i="11"/>
  <c r="BC2" i="11"/>
  <c r="BD2" i="11"/>
  <c r="BE2" i="11"/>
  <c r="BF2" i="11"/>
  <c r="BG2" i="11"/>
  <c r="BH2" i="11"/>
  <c r="BI2" i="11"/>
  <c r="BJ2" i="11"/>
  <c r="BK2" i="11"/>
  <c r="BL2" i="11"/>
  <c r="BM2" i="11"/>
  <c r="BN2" i="11"/>
  <c r="BO2" i="11"/>
  <c r="BP2" i="11"/>
  <c r="BQ2" i="11"/>
  <c r="BR2" i="11"/>
  <c r="BS2" i="11"/>
  <c r="BT2" i="11"/>
  <c r="BU2" i="11"/>
  <c r="BV2" i="11"/>
  <c r="BW2" i="11"/>
  <c r="BX2" i="11"/>
  <c r="BY2" i="11"/>
  <c r="BZ2" i="11"/>
  <c r="CA2" i="11"/>
  <c r="CB2" i="11"/>
  <c r="CC2" i="11"/>
  <c r="CD2" i="11"/>
  <c r="CE2" i="11"/>
  <c r="CF2" i="11"/>
  <c r="CG2" i="11"/>
  <c r="CH2" i="11"/>
  <c r="CI2" i="11"/>
  <c r="CJ2" i="11"/>
  <c r="CK2" i="11"/>
  <c r="CL2" i="11"/>
  <c r="CM2" i="11"/>
  <c r="CN2" i="11"/>
  <c r="CO2" i="11"/>
  <c r="CP2" i="11"/>
  <c r="CQ2" i="11"/>
  <c r="CR2" i="11"/>
  <c r="CS2" i="11"/>
  <c r="CT2" i="11"/>
  <c r="CU2" i="11"/>
  <c r="CV2" i="11"/>
  <c r="CW2" i="11"/>
  <c r="CX2" i="11"/>
  <c r="CY2" i="11"/>
  <c r="CZ2" i="11"/>
  <c r="DA2" i="11"/>
  <c r="DB2" i="11"/>
  <c r="DC2" i="11"/>
  <c r="DD2" i="11"/>
  <c r="DE2" i="11"/>
  <c r="DF2" i="11"/>
  <c r="DG2" i="11"/>
  <c r="DH2" i="11"/>
  <c r="DI2" i="11"/>
  <c r="DJ2" i="11"/>
  <c r="DK2" i="11"/>
  <c r="DL2" i="11"/>
  <c r="DM2" i="11"/>
  <c r="DN2" i="11"/>
  <c r="DO2" i="11"/>
  <c r="DP2" i="11"/>
  <c r="DQ2" i="11"/>
  <c r="DR2" i="11"/>
  <c r="DS2" i="11"/>
  <c r="DT2" i="11"/>
  <c r="DU2" i="11"/>
  <c r="DV2" i="11"/>
  <c r="DW2" i="11"/>
  <c r="DX2" i="11"/>
  <c r="DY2" i="11"/>
  <c r="DZ2" i="11"/>
  <c r="EA2" i="11"/>
  <c r="EB2" i="11"/>
  <c r="EC2" i="11"/>
  <c r="ED2" i="11"/>
  <c r="EE2" i="11"/>
  <c r="EF2" i="11"/>
  <c r="EG2" i="11"/>
  <c r="EH2" i="11"/>
  <c r="EI2" i="11"/>
  <c r="EJ2" i="11"/>
  <c r="EK2" i="11"/>
  <c r="EL2" i="11"/>
  <c r="EM2" i="11"/>
  <c r="EN2" i="11"/>
  <c r="EO2" i="11"/>
  <c r="EP2" i="11"/>
  <c r="EQ2" i="11"/>
  <c r="ER2" i="11"/>
  <c r="ES2" i="11"/>
  <c r="ET2" i="11"/>
  <c r="EU2" i="11"/>
  <c r="EV2" i="11"/>
  <c r="EW2" i="11"/>
  <c r="EX2" i="11"/>
  <c r="EY2" i="11"/>
  <c r="EZ2" i="11"/>
  <c r="FA2" i="11"/>
  <c r="FB2" i="11"/>
  <c r="FC2" i="11"/>
  <c r="FD2" i="11"/>
  <c r="FE2" i="11"/>
  <c r="FF2" i="11"/>
  <c r="FG2" i="11"/>
  <c r="FH2" i="11"/>
  <c r="FI2" i="11"/>
  <c r="FJ2" i="11"/>
  <c r="FK2" i="11"/>
  <c r="FL2" i="11"/>
  <c r="FM2" i="11"/>
  <c r="FN2" i="11"/>
  <c r="FO2" i="11"/>
  <c r="FP2" i="11"/>
  <c r="FQ2" i="11"/>
  <c r="FR2" i="11"/>
  <c r="FS2" i="11"/>
  <c r="FT2" i="11"/>
  <c r="FU2" i="11"/>
  <c r="FV2" i="11"/>
  <c r="FW2" i="11"/>
  <c r="FX2" i="11"/>
  <c r="FY2" i="11"/>
  <c r="FZ2" i="11"/>
  <c r="GA2" i="11"/>
  <c r="GB2" i="11"/>
  <c r="GC2" i="11"/>
  <c r="GD2" i="11"/>
  <c r="GE2" i="11"/>
  <c r="GF2" i="11"/>
  <c r="GG2" i="11"/>
  <c r="GH2" i="11"/>
  <c r="GI2" i="11"/>
  <c r="GJ2" i="11"/>
  <c r="GK2" i="11"/>
  <c r="GL2" i="11"/>
  <c r="GM2" i="11"/>
  <c r="GN2" i="11"/>
  <c r="GO2" i="11"/>
  <c r="GP2" i="11"/>
  <c r="GQ2" i="11"/>
  <c r="GR2" i="11"/>
  <c r="GS2" i="11"/>
  <c r="GT2" i="11"/>
  <c r="GU2" i="11"/>
  <c r="GV2" i="11"/>
  <c r="GW2" i="11"/>
  <c r="GX2" i="11"/>
  <c r="GY2" i="11"/>
  <c r="GZ2" i="11"/>
  <c r="HA2" i="11"/>
  <c r="HB2" i="11"/>
  <c r="HC2" i="11"/>
  <c r="HD2" i="11"/>
  <c r="HE2" i="11"/>
  <c r="HF2" i="11"/>
  <c r="HG2" i="11"/>
  <c r="HH2" i="11"/>
  <c r="HI2" i="11"/>
  <c r="HJ2" i="11"/>
  <c r="HK2" i="11"/>
  <c r="HL2" i="11"/>
  <c r="HM2" i="11"/>
  <c r="HN2" i="11"/>
  <c r="HO2" i="11"/>
  <c r="HP2" i="11"/>
  <c r="HQ2" i="11"/>
  <c r="HR2" i="11"/>
  <c r="HS2" i="11"/>
  <c r="HT2" i="11"/>
  <c r="HU2" i="11"/>
  <c r="HV2" i="11"/>
  <c r="HW2" i="11"/>
  <c r="HX2" i="11"/>
  <c r="HY2" i="11"/>
  <c r="HZ2" i="11"/>
  <c r="IA2" i="11"/>
  <c r="IB2" i="11"/>
  <c r="IC2" i="11"/>
  <c r="ID2" i="11"/>
  <c r="IE2" i="11"/>
  <c r="IF2" i="11"/>
  <c r="IG2" i="11"/>
  <c r="IH2" i="11"/>
  <c r="II2" i="11"/>
  <c r="IJ2" i="11"/>
  <c r="IK2" i="11"/>
  <c r="IL2" i="11"/>
  <c r="IM2" i="11"/>
  <c r="IN2" i="11"/>
  <c r="IO2" i="11"/>
  <c r="IP2" i="11"/>
  <c r="IQ2" i="11"/>
  <c r="IR2" i="11"/>
  <c r="IS2" i="11"/>
  <c r="IT2" i="11"/>
  <c r="IU2" i="11"/>
  <c r="IV2" i="11"/>
  <c r="A1" i="11"/>
  <c r="B1" i="11"/>
  <c r="C1" i="11"/>
  <c r="D1" i="11"/>
  <c r="E1" i="11"/>
  <c r="F1" i="11"/>
  <c r="G1" i="11"/>
  <c r="H1" i="11"/>
  <c r="I1" i="11"/>
  <c r="J1" i="11"/>
  <c r="K1" i="11"/>
  <c r="L1" i="11"/>
  <c r="M1" i="11"/>
  <c r="N1" i="11"/>
  <c r="O1" i="11"/>
  <c r="P1" i="11"/>
  <c r="Q1" i="11"/>
  <c r="R1" i="11"/>
  <c r="S1" i="11"/>
  <c r="T1" i="11"/>
  <c r="U1" i="11"/>
  <c r="V1" i="11"/>
  <c r="W1" i="11"/>
  <c r="X1" i="11"/>
  <c r="Y1" i="11"/>
  <c r="Z1" i="11"/>
  <c r="AA1" i="11"/>
  <c r="AB1" i="11"/>
  <c r="AC1" i="11"/>
  <c r="AD1" i="11"/>
  <c r="AE1" i="11"/>
  <c r="AF1" i="11"/>
  <c r="AG1" i="11"/>
  <c r="AH1" i="11"/>
  <c r="AI1" i="11"/>
  <c r="AJ1" i="11"/>
  <c r="AK1" i="11"/>
  <c r="AL1" i="11"/>
  <c r="AM1" i="11"/>
  <c r="AN1" i="11"/>
  <c r="AO1" i="11"/>
  <c r="AP1" i="11"/>
  <c r="AQ1" i="11"/>
  <c r="AR1" i="11"/>
  <c r="AS1" i="11"/>
  <c r="AT1" i="11"/>
  <c r="AU1" i="11"/>
  <c r="AV1" i="11"/>
  <c r="AW1" i="11"/>
  <c r="AX1" i="11"/>
  <c r="AY1" i="11"/>
  <c r="AZ1" i="11"/>
  <c r="BA1" i="11"/>
  <c r="BB1" i="11"/>
  <c r="BC1" i="11"/>
  <c r="BD1" i="11"/>
  <c r="BE1" i="11"/>
  <c r="BF1" i="11"/>
  <c r="BG1" i="11"/>
  <c r="BH1" i="11"/>
  <c r="BI1" i="11"/>
  <c r="BJ1" i="11"/>
  <c r="BK1" i="11"/>
  <c r="BL1" i="11"/>
  <c r="BM1" i="11"/>
  <c r="BN1" i="11"/>
  <c r="BO1" i="11"/>
  <c r="BP1" i="11"/>
  <c r="BQ1" i="11"/>
  <c r="BR1" i="11"/>
  <c r="BS1" i="11"/>
  <c r="BT1" i="11"/>
  <c r="BU1" i="11"/>
  <c r="BV1" i="11"/>
  <c r="BW1" i="11"/>
  <c r="BX1" i="11"/>
  <c r="BY1" i="11"/>
  <c r="BZ1" i="11"/>
  <c r="CA1" i="11"/>
  <c r="CB1" i="11"/>
  <c r="CC1" i="11"/>
  <c r="CD1" i="11"/>
  <c r="CE1" i="11"/>
  <c r="CF1" i="11"/>
  <c r="CG1" i="11"/>
  <c r="CH1" i="11"/>
  <c r="CI1" i="11"/>
  <c r="CJ1" i="11"/>
  <c r="CK1" i="11"/>
  <c r="CL1" i="11"/>
  <c r="CM1" i="11"/>
  <c r="CN1" i="11"/>
  <c r="CO1" i="11"/>
  <c r="CP1" i="11"/>
  <c r="CQ1" i="11"/>
  <c r="CR1" i="11"/>
  <c r="CS1" i="11"/>
  <c r="CT1" i="11"/>
  <c r="CU1" i="11"/>
  <c r="CV1" i="11"/>
  <c r="CW1" i="11"/>
  <c r="CX1" i="11"/>
  <c r="CY1" i="11"/>
  <c r="CZ1" i="11"/>
  <c r="DA1" i="11"/>
  <c r="DB1" i="11"/>
  <c r="DC1" i="11"/>
  <c r="DD1" i="11"/>
  <c r="DE1" i="11"/>
  <c r="DF1" i="11"/>
  <c r="DG1" i="11"/>
  <c r="DH1" i="11"/>
  <c r="DI1" i="11"/>
  <c r="DJ1" i="11"/>
  <c r="DK1" i="11"/>
  <c r="DL1" i="11"/>
  <c r="DM1" i="11"/>
  <c r="DN1" i="11"/>
  <c r="DO1" i="11"/>
  <c r="DP1" i="11"/>
  <c r="DQ1" i="11"/>
  <c r="DR1" i="11"/>
  <c r="DS1" i="11"/>
  <c r="DT1" i="11"/>
  <c r="DU1" i="11"/>
  <c r="DV1" i="11"/>
  <c r="DW1" i="11"/>
  <c r="DX1" i="11"/>
  <c r="DY1" i="11"/>
  <c r="DZ1" i="11"/>
  <c r="EA1" i="11"/>
  <c r="EB1" i="11"/>
  <c r="EC1" i="11"/>
  <c r="ED1" i="11"/>
  <c r="EE1" i="11"/>
  <c r="EF1" i="11"/>
  <c r="EG1" i="11"/>
  <c r="EH1" i="11"/>
  <c r="EI1" i="11"/>
  <c r="EJ1" i="11"/>
  <c r="EK1" i="11"/>
  <c r="EL1" i="11"/>
  <c r="EM1" i="11"/>
  <c r="EN1" i="11"/>
  <c r="EO1" i="11"/>
  <c r="EP1" i="11"/>
  <c r="EQ1" i="11"/>
  <c r="ER1" i="11"/>
  <c r="ES1" i="11"/>
  <c r="ET1" i="11"/>
  <c r="EU1" i="11"/>
  <c r="EV1" i="11"/>
  <c r="EW1" i="11"/>
  <c r="EX1" i="11"/>
  <c r="EY1" i="11"/>
  <c r="EZ1" i="11"/>
  <c r="FA1" i="11"/>
  <c r="FB1" i="11"/>
  <c r="FC1" i="11"/>
  <c r="FD1" i="11"/>
  <c r="FE1" i="11"/>
  <c r="FF1" i="11"/>
  <c r="FG1" i="11"/>
  <c r="FH1" i="11"/>
  <c r="FI1" i="11"/>
  <c r="FJ1" i="11"/>
  <c r="FK1" i="11"/>
  <c r="FL1" i="11"/>
  <c r="FM1" i="11"/>
  <c r="FN1" i="11"/>
  <c r="FO1" i="11"/>
  <c r="FP1" i="11"/>
  <c r="FQ1" i="11"/>
  <c r="FR1" i="11"/>
  <c r="FS1" i="11"/>
  <c r="FT1" i="11"/>
  <c r="FU1" i="11"/>
  <c r="FV1" i="11"/>
  <c r="FW1" i="11"/>
  <c r="FX1" i="11"/>
  <c r="FY1" i="11"/>
  <c r="FZ1" i="11"/>
  <c r="GA1" i="11"/>
  <c r="GB1" i="11"/>
  <c r="GC1" i="11"/>
  <c r="GD1" i="11"/>
  <c r="GE1" i="11"/>
  <c r="GF1" i="11"/>
  <c r="GG1" i="11"/>
  <c r="GH1" i="11"/>
  <c r="GI1" i="11"/>
  <c r="GJ1" i="11"/>
  <c r="GK1" i="11"/>
  <c r="GL1" i="11"/>
  <c r="GM1" i="11"/>
  <c r="GN1" i="11"/>
  <c r="GO1" i="11"/>
  <c r="GP1" i="11"/>
  <c r="GQ1" i="11"/>
  <c r="GR1" i="11"/>
  <c r="GS1" i="11"/>
  <c r="GT1" i="11"/>
  <c r="GU1" i="11"/>
  <c r="GV1" i="11"/>
  <c r="GW1" i="11"/>
  <c r="GX1" i="11"/>
  <c r="GY1" i="11"/>
  <c r="GZ1" i="11"/>
  <c r="HA1" i="11"/>
  <c r="HB1" i="11"/>
  <c r="HC1" i="11"/>
  <c r="HD1" i="11"/>
  <c r="HE1" i="11"/>
  <c r="HF1" i="11"/>
  <c r="HG1" i="11"/>
  <c r="HH1" i="11"/>
  <c r="HI1" i="11"/>
  <c r="HJ1" i="11"/>
  <c r="HK1" i="11"/>
  <c r="HL1" i="11"/>
  <c r="HM1" i="11"/>
  <c r="HN1" i="11"/>
  <c r="HO1" i="11"/>
  <c r="HP1" i="11"/>
  <c r="HQ1" i="11"/>
  <c r="HR1" i="11"/>
  <c r="HS1" i="11"/>
  <c r="HT1" i="11"/>
  <c r="HU1" i="11"/>
  <c r="HV1" i="11"/>
  <c r="HW1" i="11"/>
  <c r="HX1" i="11"/>
  <c r="HY1" i="11"/>
  <c r="HZ1" i="11"/>
  <c r="IA1" i="11"/>
  <c r="IB1" i="11"/>
  <c r="IC1" i="11"/>
  <c r="ID1" i="11"/>
  <c r="IE1" i="11"/>
  <c r="IF1" i="11"/>
  <c r="IG1" i="11"/>
  <c r="IH1" i="11"/>
  <c r="II1" i="11"/>
  <c r="IJ1" i="11"/>
  <c r="IK1" i="11"/>
  <c r="IL1" i="11"/>
  <c r="IM1" i="11"/>
  <c r="IN1" i="11"/>
  <c r="IO1" i="11"/>
  <c r="IP1" i="11"/>
  <c r="IQ1" i="11"/>
  <c r="IR1" i="11"/>
  <c r="IS1" i="11"/>
  <c r="IT1" i="11"/>
  <c r="IU1" i="11"/>
  <c r="IV1" i="11"/>
  <c r="W54" i="17" l="1"/>
  <c r="W55" i="17"/>
  <c r="E8" i="17"/>
  <c r="E10" i="17"/>
  <c r="E11" i="17"/>
  <c r="D9" i="17"/>
  <c r="D13" i="17"/>
  <c r="D17" i="17"/>
  <c r="D21" i="17"/>
  <c r="D25" i="17"/>
  <c r="D29" i="17"/>
  <c r="D33" i="17"/>
  <c r="D37" i="17"/>
  <c r="D41" i="17"/>
  <c r="D45" i="17"/>
  <c r="D49" i="17"/>
  <c r="D24" i="17"/>
  <c r="D36" i="17"/>
  <c r="D48" i="17"/>
  <c r="D10" i="17"/>
  <c r="D14" i="17"/>
  <c r="D18" i="17"/>
  <c r="D22" i="17"/>
  <c r="D26" i="17"/>
  <c r="D30" i="17"/>
  <c r="D34" i="17"/>
  <c r="D38" i="17"/>
  <c r="D42" i="17"/>
  <c r="D46" i="17"/>
  <c r="D50" i="17"/>
  <c r="D16" i="17"/>
  <c r="D28" i="17"/>
  <c r="D40" i="17"/>
  <c r="D52" i="17"/>
  <c r="D11" i="17"/>
  <c r="D15" i="17"/>
  <c r="D19" i="17"/>
  <c r="D23" i="17"/>
  <c r="D27" i="17"/>
  <c r="D31" i="17"/>
  <c r="D35" i="17"/>
  <c r="D39" i="17"/>
  <c r="D43" i="17"/>
  <c r="D47" i="17"/>
  <c r="D51" i="17"/>
  <c r="D12" i="17"/>
  <c r="D20" i="17"/>
  <c r="D32" i="17"/>
  <c r="D44" i="17"/>
  <c r="D8" i="17"/>
  <c r="W58" i="17"/>
  <c r="W56" i="17"/>
  <c r="Y58" i="17"/>
  <c r="Y56" i="17"/>
  <c r="Y54" i="17"/>
  <c r="Y5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Miquéias Reale</author>
  </authors>
  <commentList>
    <comment ref="D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Miquéias Reale:
ANIVERSARIANTES
</t>
        </r>
        <r>
          <rPr>
            <sz val="9"/>
            <color indexed="81"/>
            <rFont val="Segoe UI"/>
            <family val="2"/>
          </rPr>
          <t>H = Para quem esta aniversariantes Hoje.
M = Para quem esta aniversariantes este mês.</t>
        </r>
      </text>
    </comment>
    <comment ref="E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Miquéias Reale: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IDADE:</t>
        </r>
        <r>
          <rPr>
            <sz val="9"/>
            <color indexed="81"/>
            <rFont val="Segoe UI"/>
            <family val="2"/>
          </rPr>
          <t xml:space="preserve">
Para calcular a idade do aluno incira a data de nacimenta na coluna ao lado no formato DIA/MÊS/ANO
Ex.: 22/03/1981
</t>
        </r>
      </text>
    </comment>
    <comment ref="F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Miquéias Reale:</t>
        </r>
        <r>
          <rPr>
            <sz val="9"/>
            <color indexed="81"/>
            <rFont val="Segoe UI"/>
            <family val="2"/>
          </rPr>
          <t xml:space="preserve">
Insira o Estado do Tempo:
B = BOM
N = NUBRALO
C = CHUVOSO
T = TEMPESTUOSO</t>
        </r>
      </text>
    </comment>
    <comment ref="F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Miquéias Reale:</t>
        </r>
        <r>
          <rPr>
            <sz val="9"/>
            <color indexed="81"/>
            <rFont val="Segoe UI"/>
            <family val="2"/>
          </rPr>
          <t xml:space="preserve">
Neste campo insira se a Escola foi Reunida ou em Classe.
C = Classe
R = Reunida
A chamada em escola reunida é obrigatorio.</t>
        </r>
      </text>
    </comment>
    <comment ref="D8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Miquéias Reale: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ANIVERSARIANTES</t>
        </r>
        <r>
          <rPr>
            <sz val="9"/>
            <color indexed="81"/>
            <rFont val="Segoe UI"/>
            <family val="2"/>
          </rPr>
          <t xml:space="preserve">
H = Para quem esta aniversariantes Hoje.
M = Para quem esta aniversariantes este mês.</t>
        </r>
      </text>
    </comment>
    <comment ref="F8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Miquéias Reale:</t>
        </r>
        <r>
          <rPr>
            <sz val="9"/>
            <color indexed="81"/>
            <rFont val="Segoe UI"/>
            <family val="2"/>
          </rPr>
          <t xml:space="preserve">
Miquéias Reale:
IDADE:
Para calcular a idade do aluno incira a data de nacimenta na coluna ao lado no formato DIA/MÊS/ANO
Ex.: 22/03/1981</t>
        </r>
      </text>
    </comment>
    <comment ref="D10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Miquéias Reale:
ANIVERSARIANTES
H = Para quem esta aniversariantes Hoje.
M = Para quem esta aniversariantes este mês.</t>
        </r>
      </text>
    </comment>
  </commentList>
</comments>
</file>

<file path=xl/sharedStrings.xml><?xml version="1.0" encoding="utf-8"?>
<sst xmlns="http://schemas.openxmlformats.org/spreadsheetml/2006/main" count="95" uniqueCount="65">
  <si>
    <t>LIÇÃO</t>
  </si>
  <si>
    <t>TOTAL</t>
  </si>
  <si>
    <t>P</t>
  </si>
  <si>
    <t>A</t>
  </si>
  <si>
    <t>Nº</t>
  </si>
  <si>
    <t>ALUNOS MATRICULADOS</t>
  </si>
  <si>
    <t>AUSENTES</t>
  </si>
  <si>
    <t>AAAAAFLOlSE=</t>
  </si>
  <si>
    <t>AAAAAFLOlSI=</t>
  </si>
  <si>
    <t>AAAAAFLOlSM=</t>
  </si>
  <si>
    <t>TOTAL DE PRESENTES</t>
  </si>
  <si>
    <t>PROFESSORES</t>
  </si>
  <si>
    <t>C</t>
  </si>
  <si>
    <t>R</t>
  </si>
  <si>
    <t>DIAS</t>
  </si>
  <si>
    <t>FAIXA ETÁRIA: 15 A 17 ANOS</t>
  </si>
  <si>
    <t>REGISTRO DE FREQUENCIA:</t>
  </si>
  <si>
    <t>3° TRIMESTRE DE 2013</t>
  </si>
  <si>
    <t>Euder Gomes e Saadila Marilia</t>
  </si>
  <si>
    <t>%P</t>
  </si>
  <si>
    <t>CLASSIFICAÇÃO: JUVENIS</t>
  </si>
  <si>
    <t>MÊSES :</t>
  </si>
  <si>
    <t xml:space="preserve"> JULHO</t>
  </si>
  <si>
    <t>AGOSTO</t>
  </si>
  <si>
    <t>SETEMBRO</t>
  </si>
  <si>
    <t>%A</t>
  </si>
  <si>
    <t>MÉDIA</t>
  </si>
  <si>
    <t>RELATÓRIO</t>
  </si>
  <si>
    <t>1º</t>
  </si>
  <si>
    <t>2º</t>
  </si>
  <si>
    <t>3º</t>
  </si>
  <si>
    <t>4º</t>
  </si>
  <si>
    <t>5º</t>
  </si>
  <si>
    <t>PRESENTES</t>
  </si>
  <si>
    <t>VISITANTES*</t>
  </si>
  <si>
    <t>CLIMA*</t>
  </si>
  <si>
    <t>ESCOLA*</t>
  </si>
  <si>
    <t>REVISTAS*</t>
  </si>
  <si>
    <t>BIBLIAS *</t>
  </si>
  <si>
    <t>OFERTAS*</t>
  </si>
  <si>
    <t>DÍZIMOS*</t>
  </si>
  <si>
    <t>LEGENDA DOS PROFESSORES*</t>
  </si>
  <si>
    <t>OBSERVAÇÕES*</t>
  </si>
  <si>
    <t>NOME DO ALUNO*</t>
  </si>
  <si>
    <t>IDADE</t>
  </si>
  <si>
    <t>ANIVESARIANTES</t>
  </si>
  <si>
    <t>CLASSE: JUVENIS</t>
  </si>
  <si>
    <t>V 1.0</t>
  </si>
  <si>
    <t>B</t>
  </si>
  <si>
    <t>F</t>
  </si>
  <si>
    <t>V</t>
  </si>
  <si>
    <t>1º DOMINGO</t>
  </si>
  <si>
    <t>2º DOMINGO</t>
  </si>
  <si>
    <t>3º DOMINGO</t>
  </si>
  <si>
    <t>4º DOMINGO</t>
  </si>
  <si>
    <t>FEVEREIRO 2023</t>
  </si>
  <si>
    <t>CLASSE:</t>
  </si>
  <si>
    <t>CLASSIFICAÇÃO:</t>
  </si>
  <si>
    <t>Observações da Aula</t>
  </si>
  <si>
    <t>PROFESSORES:</t>
  </si>
  <si>
    <t>DATA DA AULA:</t>
  </si>
  <si>
    <t>NOME DO ALUNO</t>
  </si>
  <si>
    <t>OFERTAS</t>
  </si>
  <si>
    <t>DÍZIMOS</t>
  </si>
  <si>
    <t>LIÇÃO: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</si>
</sst>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0.0"/>
  </numFmts>
  <fonts count="16" x14ac:knownFonts="1">
    <font>
      <sz val="10"/>
      <name val="Arial"/>
    </font>
    <font>
      <sz val="10"/>
      <name val="Arial"/>
    </font>
    <font>
      <b/>
      <sz val="6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7.5"/>
      <color theme="1"/>
      <name val="Arial"/>
      <family val="2"/>
    </font>
    <font>
      <b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 applyProtection="1">
      <alignment vertical="center"/>
      <protection locked="0"/>
    </xf>
    <xf numFmtId="0" fontId="5" fillId="5" borderId="1" xfId="0" applyFont="1" applyFill="1" applyBorder="1" applyProtection="1">
      <protection locked="0"/>
    </xf>
    <xf numFmtId="0" fontId="3" fillId="0" borderId="3" xfId="0" applyFont="1" applyBorder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/>
    <xf numFmtId="0" fontId="2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5" borderId="2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Protection="1">
      <protection locked="0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5" borderId="2" xfId="0" applyFont="1" applyFill="1" applyBorder="1" applyProtection="1">
      <protection locked="0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65" fontId="5" fillId="0" borderId="6" xfId="0" applyNumberFormat="1" applyFont="1" applyBorder="1" applyAlignment="1">
      <alignment vertical="center"/>
    </xf>
    <xf numFmtId="0" fontId="7" fillId="6" borderId="12" xfId="0" applyFont="1" applyFill="1" applyBorder="1"/>
    <xf numFmtId="0" fontId="7" fillId="6" borderId="13" xfId="0" applyFont="1" applyFill="1" applyBorder="1"/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20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4" borderId="19" xfId="0" applyFon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7" fillId="6" borderId="22" xfId="0" applyFont="1" applyFill="1" applyBorder="1"/>
    <xf numFmtId="0" fontId="7" fillId="6" borderId="23" xfId="0" applyFont="1" applyFill="1" applyBorder="1"/>
    <xf numFmtId="0" fontId="7" fillId="6" borderId="24" xfId="0" applyFont="1" applyFill="1" applyBorder="1"/>
    <xf numFmtId="0" fontId="5" fillId="0" borderId="4" xfId="0" applyFont="1" applyBorder="1"/>
    <xf numFmtId="2" fontId="5" fillId="2" borderId="14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 vertical="center"/>
    </xf>
    <xf numFmtId="0" fontId="3" fillId="0" borderId="3" xfId="0" applyFont="1" applyBorder="1" applyProtection="1">
      <protection locked="0"/>
    </xf>
    <xf numFmtId="164" fontId="5" fillId="0" borderId="2" xfId="1" applyFont="1" applyBorder="1" applyAlignment="1" applyProtection="1">
      <alignment vertical="center" textRotation="90"/>
      <protection locked="0"/>
    </xf>
    <xf numFmtId="164" fontId="5" fillId="0" borderId="1" xfId="1" applyFont="1" applyBorder="1" applyAlignment="1" applyProtection="1">
      <alignment vertical="center" textRotation="90"/>
      <protection locked="0"/>
    </xf>
    <xf numFmtId="164" fontId="5" fillId="0" borderId="4" xfId="1" applyFont="1" applyBorder="1" applyAlignment="1" applyProtection="1">
      <alignment vertical="center" textRotation="90"/>
      <protection locked="0"/>
    </xf>
    <xf numFmtId="164" fontId="5" fillId="0" borderId="7" xfId="1" applyFont="1" applyBorder="1" applyAlignment="1" applyProtection="1">
      <alignment vertical="center" textRotation="90"/>
      <protection locked="0"/>
    </xf>
    <xf numFmtId="164" fontId="5" fillId="0" borderId="8" xfId="1" applyFont="1" applyBorder="1" applyAlignment="1" applyProtection="1">
      <alignment vertical="center" textRotation="90"/>
      <protection locked="0"/>
    </xf>
    <xf numFmtId="164" fontId="5" fillId="0" borderId="9" xfId="1" applyFont="1" applyBorder="1" applyAlignment="1" applyProtection="1">
      <alignment vertical="center" textRotation="90"/>
      <protection locked="0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25" xfId="0" applyFont="1" applyBorder="1"/>
    <xf numFmtId="0" fontId="5" fillId="0" borderId="1" xfId="0" applyFont="1" applyBorder="1" applyProtection="1">
      <protection locked="0"/>
    </xf>
    <xf numFmtId="0" fontId="11" fillId="8" borderId="3" xfId="0" applyFont="1" applyFill="1" applyBorder="1" applyAlignment="1" applyProtection="1">
      <alignment vertical="center"/>
      <protection locked="0"/>
    </xf>
    <xf numFmtId="0" fontId="11" fillId="8" borderId="14" xfId="0" applyFont="1" applyFill="1" applyBorder="1" applyAlignment="1" applyProtection="1">
      <alignment vertical="center"/>
      <protection locked="0"/>
    </xf>
    <xf numFmtId="14" fontId="3" fillId="0" borderId="3" xfId="0" applyNumberFormat="1" applyFont="1" applyBorder="1" applyProtection="1">
      <protection locked="0"/>
    </xf>
    <xf numFmtId="0" fontId="4" fillId="0" borderId="38" xfId="0" applyFont="1" applyBorder="1"/>
    <xf numFmtId="0" fontId="4" fillId="8" borderId="3" xfId="0" applyFont="1" applyFill="1" applyBorder="1" applyAlignment="1" applyProtection="1">
      <alignment vertical="center"/>
      <protection locked="0"/>
    </xf>
    <xf numFmtId="0" fontId="4" fillId="8" borderId="14" xfId="0" applyFont="1" applyFill="1" applyBorder="1" applyAlignment="1" applyProtection="1">
      <alignment vertical="center"/>
      <protection locked="0"/>
    </xf>
    <xf numFmtId="0" fontId="4" fillId="8" borderId="26" xfId="0" applyFont="1" applyFill="1" applyBorder="1" applyAlignment="1" applyProtection="1">
      <alignment vertical="center"/>
      <protection locked="0"/>
    </xf>
    <xf numFmtId="0" fontId="4" fillId="8" borderId="28" xfId="0" applyFont="1" applyFill="1" applyBorder="1" applyAlignment="1" applyProtection="1">
      <alignment vertical="center"/>
      <protection locked="0"/>
    </xf>
    <xf numFmtId="14" fontId="11" fillId="8" borderId="4" xfId="0" applyNumberFormat="1" applyFont="1" applyFill="1" applyBorder="1" applyAlignment="1" applyProtection="1">
      <alignment vertical="center"/>
      <protection locked="0"/>
    </xf>
    <xf numFmtId="14" fontId="4" fillId="8" borderId="4" xfId="0" applyNumberFormat="1" applyFont="1" applyFill="1" applyBorder="1" applyAlignment="1" applyProtection="1">
      <alignment vertical="center"/>
      <protection locked="0"/>
    </xf>
    <xf numFmtId="14" fontId="4" fillId="8" borderId="9" xfId="0" applyNumberFormat="1" applyFont="1" applyFill="1" applyBorder="1" applyAlignment="1" applyProtection="1">
      <alignment vertical="center"/>
      <protection locked="0"/>
    </xf>
    <xf numFmtId="0" fontId="7" fillId="6" borderId="12" xfId="0" applyFont="1" applyFill="1" applyBorder="1" applyAlignment="1">
      <alignment horizontal="center" vertical="center"/>
    </xf>
    <xf numFmtId="0" fontId="7" fillId="6" borderId="10" xfId="0" applyFont="1" applyFill="1" applyBorder="1"/>
    <xf numFmtId="0" fontId="7" fillId="6" borderId="40" xfId="0" applyFont="1" applyFill="1" applyBorder="1"/>
    <xf numFmtId="0" fontId="7" fillId="6" borderId="14" xfId="0" applyFont="1" applyFill="1" applyBorder="1"/>
    <xf numFmtId="0" fontId="7" fillId="6" borderId="42" xfId="0" applyFont="1" applyFill="1" applyBorder="1"/>
    <xf numFmtId="0" fontId="11" fillId="8" borderId="1" xfId="0" applyFont="1" applyFill="1" applyBorder="1" applyAlignment="1">
      <alignment horizontal="center" vertical="center"/>
    </xf>
    <xf numFmtId="1" fontId="11" fillId="8" borderId="1" xfId="0" applyNumberFormat="1" applyFont="1" applyFill="1" applyBorder="1" applyAlignment="1">
      <alignment horizontal="right" vertical="center"/>
    </xf>
    <xf numFmtId="14" fontId="4" fillId="0" borderId="39" xfId="0" applyNumberFormat="1" applyFont="1" applyBorder="1"/>
    <xf numFmtId="0" fontId="5" fillId="5" borderId="3" xfId="0" applyFont="1" applyFill="1" applyBorder="1" applyAlignment="1" applyProtection="1">
      <alignment vertical="center"/>
      <protection locked="0"/>
    </xf>
    <xf numFmtId="0" fontId="5" fillId="5" borderId="3" xfId="0" applyFont="1" applyFill="1" applyBorder="1" applyProtection="1">
      <protection locked="0"/>
    </xf>
    <xf numFmtId="0" fontId="6" fillId="3" borderId="17" xfId="0" applyFont="1" applyFill="1" applyBorder="1" applyAlignment="1">
      <alignment vertical="center"/>
    </xf>
    <xf numFmtId="0" fontId="5" fillId="5" borderId="1" xfId="0" quotePrefix="1" applyFont="1" applyFill="1" applyBorder="1" applyAlignment="1" applyProtection="1">
      <alignment vertical="center"/>
      <protection locked="0"/>
    </xf>
    <xf numFmtId="0" fontId="11" fillId="8" borderId="3" xfId="0" applyFont="1" applyFill="1" applyBorder="1" applyAlignment="1">
      <alignment vertical="center"/>
    </xf>
    <xf numFmtId="0" fontId="11" fillId="8" borderId="14" xfId="0" applyFont="1" applyFill="1" applyBorder="1" applyAlignment="1">
      <alignment vertical="center"/>
    </xf>
    <xf numFmtId="0" fontId="4" fillId="8" borderId="14" xfId="0" applyFont="1" applyFill="1" applyBorder="1" applyAlignment="1">
      <alignment vertical="center"/>
    </xf>
    <xf numFmtId="0" fontId="5" fillId="8" borderId="14" xfId="0" applyFont="1" applyFill="1" applyBorder="1" applyAlignment="1">
      <alignment vertical="center"/>
    </xf>
    <xf numFmtId="0" fontId="12" fillId="8" borderId="3" xfId="0" applyFont="1" applyFill="1" applyBorder="1" applyAlignment="1">
      <alignment vertical="center"/>
    </xf>
    <xf numFmtId="0" fontId="6" fillId="3" borderId="42" xfId="0" applyFont="1" applyFill="1" applyBorder="1" applyAlignment="1">
      <alignment vertical="center"/>
    </xf>
    <xf numFmtId="0" fontId="6" fillId="2" borderId="53" xfId="0" applyFont="1" applyFill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5" fillId="5" borderId="57" xfId="0" applyFont="1" applyFill="1" applyBorder="1" applyAlignment="1" applyProtection="1">
      <alignment vertical="center"/>
      <protection locked="0"/>
    </xf>
    <xf numFmtId="0" fontId="5" fillId="5" borderId="58" xfId="0" applyFont="1" applyFill="1" applyBorder="1" applyAlignment="1" applyProtection="1">
      <alignment vertical="center"/>
      <protection locked="0"/>
    </xf>
    <xf numFmtId="0" fontId="5" fillId="5" borderId="58" xfId="0" applyFont="1" applyFill="1" applyBorder="1" applyProtection="1">
      <protection locked="0"/>
    </xf>
    <xf numFmtId="0" fontId="3" fillId="0" borderId="57" xfId="0" applyFont="1" applyBorder="1" applyProtection="1">
      <protection locked="0"/>
    </xf>
    <xf numFmtId="0" fontId="5" fillId="5" borderId="57" xfId="0" applyFont="1" applyFill="1" applyBorder="1" applyProtection="1">
      <protection locked="0"/>
    </xf>
    <xf numFmtId="0" fontId="6" fillId="3" borderId="59" xfId="0" applyFont="1" applyFill="1" applyBorder="1" applyAlignment="1">
      <alignment vertical="center"/>
    </xf>
    <xf numFmtId="0" fontId="6" fillId="8" borderId="57" xfId="0" applyFont="1" applyFill="1" applyBorder="1" applyAlignment="1">
      <alignment horizontal="center"/>
    </xf>
    <xf numFmtId="0" fontId="3" fillId="8" borderId="0" xfId="0" applyFont="1" applyFill="1"/>
    <xf numFmtId="0" fontId="15" fillId="2" borderId="3" xfId="0" applyFont="1" applyFill="1" applyBorder="1" applyAlignment="1">
      <alignment horizontal="center" vertical="center" textRotation="90"/>
    </xf>
    <xf numFmtId="0" fontId="15" fillId="2" borderId="74" xfId="0" applyFont="1" applyFill="1" applyBorder="1" applyAlignment="1">
      <alignment horizontal="center" vertical="center" textRotation="90"/>
    </xf>
    <xf numFmtId="0" fontId="6" fillId="3" borderId="17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14" fontId="4" fillId="0" borderId="38" xfId="0" applyNumberFormat="1" applyFont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0" fillId="7" borderId="35" xfId="0" applyFont="1" applyFill="1" applyBorder="1" applyAlignment="1">
      <alignment horizontal="left"/>
    </xf>
    <xf numFmtId="0" fontId="10" fillId="7" borderId="12" xfId="0" applyFont="1" applyFill="1" applyBorder="1" applyAlignment="1">
      <alignment horizontal="left"/>
    </xf>
    <xf numFmtId="0" fontId="7" fillId="6" borderId="35" xfId="0" applyFont="1" applyFill="1" applyBorder="1" applyAlignment="1">
      <alignment horizontal="center"/>
    </xf>
    <xf numFmtId="0" fontId="10" fillId="7" borderId="36" xfId="0" applyFont="1" applyFill="1" applyBorder="1" applyAlignment="1">
      <alignment horizontal="left"/>
    </xf>
    <xf numFmtId="0" fontId="10" fillId="7" borderId="0" xfId="0" applyFont="1" applyFill="1" applyAlignment="1">
      <alignment horizontal="left"/>
    </xf>
    <xf numFmtId="0" fontId="10" fillId="7" borderId="2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left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3" borderId="43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 textRotation="90"/>
    </xf>
    <xf numFmtId="0" fontId="6" fillId="3" borderId="44" xfId="0" applyFont="1" applyFill="1" applyBorder="1" applyAlignment="1">
      <alignment horizontal="center" vertical="center" textRotation="90"/>
    </xf>
    <xf numFmtId="0" fontId="6" fillId="3" borderId="45" xfId="0" applyFont="1" applyFill="1" applyBorder="1" applyAlignment="1">
      <alignment horizontal="center" vertical="center" textRotation="90"/>
    </xf>
    <xf numFmtId="0" fontId="6" fillId="3" borderId="41" xfId="0" applyFont="1" applyFill="1" applyBorder="1" applyAlignment="1">
      <alignment horizontal="center" vertical="center" textRotation="90"/>
    </xf>
    <xf numFmtId="0" fontId="6" fillId="3" borderId="20" xfId="0" applyFont="1" applyFill="1" applyBorder="1" applyAlignment="1">
      <alignment horizontal="center" vertical="center" textRotation="90"/>
    </xf>
    <xf numFmtId="0" fontId="6" fillId="2" borderId="16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5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7" fillId="6" borderId="35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center" vertical="center" textRotation="90"/>
    </xf>
    <xf numFmtId="0" fontId="6" fillId="2" borderId="26" xfId="0" applyFont="1" applyFill="1" applyBorder="1" applyAlignment="1">
      <alignment horizontal="center" vertical="center" textRotation="90"/>
    </xf>
    <xf numFmtId="164" fontId="5" fillId="2" borderId="27" xfId="0" applyNumberFormat="1" applyFont="1" applyFill="1" applyBorder="1" applyAlignment="1">
      <alignment horizontal="center" vertical="center" textRotation="90"/>
    </xf>
    <xf numFmtId="164" fontId="5" fillId="2" borderId="28" xfId="0" applyNumberFormat="1" applyFont="1" applyFill="1" applyBorder="1" applyAlignment="1">
      <alignment horizontal="center" vertical="center" textRotation="90"/>
    </xf>
    <xf numFmtId="0" fontId="5" fillId="2" borderId="29" xfId="0" applyFont="1" applyFill="1" applyBorder="1" applyAlignment="1">
      <alignment horizontal="center" vertical="center" textRotation="90"/>
    </xf>
    <xf numFmtId="0" fontId="6" fillId="2" borderId="31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32" xfId="0" applyFont="1" applyFill="1" applyBorder="1" applyAlignment="1">
      <alignment horizontal="center" vertical="center" textRotation="9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textRotation="90"/>
    </xf>
    <xf numFmtId="164" fontId="5" fillId="2" borderId="30" xfId="0" applyNumberFormat="1" applyFont="1" applyFill="1" applyBorder="1" applyAlignment="1">
      <alignment horizontal="center" vertical="center" textRotation="90"/>
    </xf>
    <xf numFmtId="164" fontId="5" fillId="2" borderId="14" xfId="0" applyNumberFormat="1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13" fillId="9" borderId="57" xfId="0" applyFont="1" applyFill="1" applyBorder="1" applyAlignment="1">
      <alignment horizontal="left"/>
    </xf>
    <xf numFmtId="0" fontId="13" fillId="9" borderId="1" xfId="0" applyFont="1" applyFill="1" applyBorder="1" applyAlignment="1">
      <alignment horizontal="left"/>
    </xf>
    <xf numFmtId="0" fontId="13" fillId="9" borderId="3" xfId="0" applyFont="1" applyFill="1" applyBorder="1" applyAlignment="1">
      <alignment horizontal="left"/>
    </xf>
    <xf numFmtId="0" fontId="13" fillId="9" borderId="68" xfId="0" applyFont="1" applyFill="1" applyBorder="1" applyAlignment="1">
      <alignment horizontal="left" vertical="center"/>
    </xf>
    <xf numFmtId="0" fontId="13" fillId="9" borderId="69" xfId="0" applyFont="1" applyFill="1" applyBorder="1" applyAlignment="1">
      <alignment horizontal="left" vertical="center"/>
    </xf>
    <xf numFmtId="0" fontId="13" fillId="9" borderId="70" xfId="0" applyFont="1" applyFill="1" applyBorder="1" applyAlignment="1">
      <alignment horizontal="left" vertical="center"/>
    </xf>
    <xf numFmtId="0" fontId="6" fillId="2" borderId="71" xfId="0" applyFont="1" applyFill="1" applyBorder="1" applyAlignment="1">
      <alignment horizontal="center" vertical="center" textRotation="90"/>
    </xf>
    <xf numFmtId="0" fontId="6" fillId="2" borderId="72" xfId="0" applyFont="1" applyFill="1" applyBorder="1" applyAlignment="1">
      <alignment horizontal="center" vertical="center" textRotation="90"/>
    </xf>
    <xf numFmtId="0" fontId="5" fillId="0" borderId="46" xfId="0" applyFont="1" applyBorder="1" applyAlignment="1" applyProtection="1">
      <alignment horizontal="left" vertical="top" wrapText="1"/>
      <protection locked="0"/>
    </xf>
    <xf numFmtId="0" fontId="5" fillId="0" borderId="73" xfId="0" applyFont="1" applyBorder="1" applyAlignment="1" applyProtection="1">
      <alignment horizontal="left" vertical="top" wrapText="1"/>
      <protection locked="0"/>
    </xf>
    <xf numFmtId="164" fontId="5" fillId="0" borderId="60" xfId="1" applyFont="1" applyBorder="1" applyAlignment="1" applyProtection="1">
      <alignment horizontal="center" vertical="center" textRotation="90"/>
      <protection locked="0"/>
    </xf>
    <xf numFmtId="164" fontId="5" fillId="0" borderId="14" xfId="1" applyFont="1" applyBorder="1" applyAlignment="1" applyProtection="1">
      <alignment horizontal="center" vertical="center" textRotation="90"/>
      <protection locked="0"/>
    </xf>
    <xf numFmtId="164" fontId="5" fillId="0" borderId="61" xfId="1" applyFont="1" applyBorder="1" applyAlignment="1" applyProtection="1">
      <alignment horizontal="center" vertical="center" textRotation="90"/>
      <protection locked="0"/>
    </xf>
    <xf numFmtId="164" fontId="5" fillId="0" borderId="57" xfId="1" applyFont="1" applyBorder="1" applyAlignment="1" applyProtection="1">
      <alignment horizontal="center" vertical="center" textRotation="90"/>
      <protection locked="0"/>
    </xf>
    <xf numFmtId="164" fontId="5" fillId="0" borderId="1" xfId="1" applyFont="1" applyBorder="1" applyAlignment="1" applyProtection="1">
      <alignment horizontal="center" vertical="center" textRotation="90"/>
      <protection locked="0"/>
    </xf>
    <xf numFmtId="164" fontId="5" fillId="0" borderId="58" xfId="1" applyFont="1" applyBorder="1" applyAlignment="1" applyProtection="1">
      <alignment horizontal="center" vertical="center" textRotation="90"/>
      <protection locked="0"/>
    </xf>
    <xf numFmtId="164" fontId="5" fillId="0" borderId="62" xfId="1" applyFont="1" applyBorder="1" applyAlignment="1" applyProtection="1">
      <alignment horizontal="center" vertical="center" textRotation="90"/>
      <protection locked="0"/>
    </xf>
    <xf numFmtId="164" fontId="5" fillId="0" borderId="63" xfId="1" applyFont="1" applyBorder="1" applyAlignment="1" applyProtection="1">
      <alignment horizontal="center" vertical="center" textRotation="90"/>
      <protection locked="0"/>
    </xf>
    <xf numFmtId="164" fontId="5" fillId="0" borderId="64" xfId="1" applyFont="1" applyBorder="1" applyAlignment="1" applyProtection="1">
      <alignment horizontal="center" vertical="center" textRotation="90"/>
      <protection locked="0"/>
    </xf>
    <xf numFmtId="164" fontId="5" fillId="0" borderId="65" xfId="1" applyFont="1" applyBorder="1" applyAlignment="1" applyProtection="1">
      <alignment horizontal="center" vertical="center" textRotation="90"/>
      <protection locked="0"/>
    </xf>
    <xf numFmtId="164" fontId="5" fillId="0" borderId="66" xfId="1" applyFont="1" applyBorder="1" applyAlignment="1" applyProtection="1">
      <alignment horizontal="center" vertical="center" textRotation="90"/>
      <protection locked="0"/>
    </xf>
    <xf numFmtId="164" fontId="5" fillId="0" borderId="67" xfId="1" applyFont="1" applyBorder="1" applyAlignment="1" applyProtection="1">
      <alignment horizontal="center" vertical="center" textRotation="90"/>
      <protection locked="0"/>
    </xf>
    <xf numFmtId="0" fontId="4" fillId="0" borderId="47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49" fontId="4" fillId="0" borderId="48" xfId="0" applyNumberFormat="1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14" fillId="9" borderId="47" xfId="0" applyFont="1" applyFill="1" applyBorder="1" applyAlignment="1">
      <alignment horizontal="center" vertical="center"/>
    </xf>
    <xf numFmtId="0" fontId="14" fillId="9" borderId="48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3" fillId="9" borderId="48" xfId="0" applyFont="1" applyFill="1" applyBorder="1" applyAlignment="1">
      <alignment horizontal="center" vertical="center"/>
    </xf>
    <xf numFmtId="0" fontId="13" fillId="9" borderId="51" xfId="0" applyFont="1" applyFill="1" applyBorder="1" applyAlignment="1">
      <alignment horizontal="center" vertical="center"/>
    </xf>
    <xf numFmtId="0" fontId="13" fillId="9" borderId="49" xfId="0" applyFont="1" applyFill="1" applyBorder="1" applyAlignment="1">
      <alignment horizontal="center" vertical="center"/>
    </xf>
    <xf numFmtId="0" fontId="13" fillId="9" borderId="52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8">
    <dxf>
      <font>
        <b/>
        <i val="0"/>
        <color rgb="FF0070C0"/>
      </font>
      <fill>
        <patternFill>
          <bgColor theme="0" tint="-0.34998626667073579"/>
        </patternFill>
      </fill>
    </dxf>
    <dxf>
      <font>
        <b/>
        <i val="0"/>
        <color rgb="FFFFFF00"/>
      </font>
      <fill>
        <patternFill patternType="solid">
          <bgColor rgb="FFC00000"/>
        </patternFill>
      </fill>
    </dxf>
    <dxf>
      <font>
        <b/>
        <i val="0"/>
        <color rgb="FFC00000"/>
        <name val="Cambria"/>
        <scheme val="none"/>
      </font>
    </dxf>
    <dxf>
      <font>
        <b/>
        <i val="0"/>
        <color rgb="FF0070C0"/>
        <name val="Cambria"/>
        <scheme val="none"/>
      </font>
    </dxf>
    <dxf>
      <font>
        <b/>
        <i val="0"/>
        <color rgb="FFC00000"/>
        <name val="Cambria"/>
        <scheme val="none"/>
      </font>
    </dxf>
    <dxf>
      <font>
        <b/>
        <i val="0"/>
        <color rgb="FF0070C0"/>
        <name val="Cambria"/>
        <scheme val="none"/>
      </font>
    </dxf>
    <dxf>
      <font>
        <b/>
        <i val="0"/>
        <color rgb="FF0070C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3"/>
  </sheetPr>
  <dimension ref="A1:Z112"/>
  <sheetViews>
    <sheetView view="pageBreakPreview" zoomScale="115" zoomScaleNormal="220" workbookViewId="0">
      <selection activeCell="L10" sqref="L10"/>
    </sheetView>
  </sheetViews>
  <sheetFormatPr defaultRowHeight="13.2" x14ac:dyDescent="0.25"/>
  <cols>
    <col min="1" max="1" width="2.6640625" style="18" bestFit="1" customWidth="1"/>
    <col min="2" max="2" width="26" style="1" customWidth="1"/>
    <col min="3" max="4" width="3.33203125" style="1" customWidth="1"/>
    <col min="5" max="5" width="3" style="1" bestFit="1" customWidth="1"/>
    <col min="6" max="6" width="11.88671875" style="1" customWidth="1"/>
    <col min="7" max="7" width="2.6640625" style="1" bestFit="1" customWidth="1"/>
    <col min="8" max="8" width="3" style="1" bestFit="1" customWidth="1"/>
    <col min="9" max="10" width="2.6640625" style="1" bestFit="1" customWidth="1"/>
    <col min="11" max="11" width="3" style="1" bestFit="1" customWidth="1"/>
    <col min="12" max="14" width="2.6640625" style="1" bestFit="1" customWidth="1"/>
    <col min="15" max="15" width="3" style="1" bestFit="1" customWidth="1"/>
    <col min="16" max="21" width="2.6640625" style="1" bestFit="1" customWidth="1"/>
    <col min="22" max="22" width="1" style="1" customWidth="1"/>
    <col min="23" max="23" width="2.6640625" style="1" bestFit="1" customWidth="1"/>
    <col min="24" max="24" width="2.6640625" style="1" customWidth="1"/>
    <col min="25" max="25" width="5.88671875" style="1" bestFit="1" customWidth="1"/>
    <col min="26" max="26" width="4.88671875" style="1" bestFit="1" customWidth="1"/>
  </cols>
  <sheetData>
    <row r="1" spans="1:26" s="2" customFormat="1" ht="13.8" thickBot="1" x14ac:dyDescent="0.3">
      <c r="A1" s="131" t="s">
        <v>16</v>
      </c>
      <c r="B1" s="130"/>
      <c r="C1" s="130"/>
      <c r="D1" s="130"/>
      <c r="E1" s="130"/>
      <c r="F1" s="130"/>
      <c r="G1" s="130" t="s">
        <v>17</v>
      </c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79"/>
      <c r="W1" s="128">
        <f ca="1">TODAY()</f>
        <v>44980</v>
      </c>
      <c r="X1" s="128"/>
      <c r="Y1" s="128"/>
      <c r="Z1" s="94" t="s">
        <v>47</v>
      </c>
    </row>
    <row r="2" spans="1:26" s="3" customFormat="1" ht="12.75" customHeight="1" thickBot="1" x14ac:dyDescent="0.25">
      <c r="A2" s="132" t="s">
        <v>46</v>
      </c>
      <c r="B2" s="133"/>
      <c r="C2" s="133"/>
      <c r="D2" s="146" t="s">
        <v>45</v>
      </c>
      <c r="E2" s="143" t="s">
        <v>44</v>
      </c>
      <c r="F2" s="88" t="s">
        <v>21</v>
      </c>
      <c r="G2" s="134" t="s">
        <v>22</v>
      </c>
      <c r="H2" s="129"/>
      <c r="I2" s="129"/>
      <c r="J2" s="129"/>
      <c r="K2" s="129" t="s">
        <v>23</v>
      </c>
      <c r="L2" s="129"/>
      <c r="M2" s="129"/>
      <c r="N2" s="129"/>
      <c r="O2" s="129" t="s">
        <v>24</v>
      </c>
      <c r="P2" s="129"/>
      <c r="Q2" s="129"/>
      <c r="R2" s="129"/>
      <c r="S2" s="129"/>
      <c r="T2" s="38"/>
      <c r="U2" s="39"/>
      <c r="V2" s="15"/>
      <c r="W2" s="54" t="s">
        <v>1</v>
      </c>
      <c r="X2" s="55"/>
      <c r="Y2" s="55"/>
      <c r="Z2" s="56"/>
    </row>
    <row r="3" spans="1:26" ht="13.8" thickBot="1" x14ac:dyDescent="0.3">
      <c r="A3" s="135" t="s">
        <v>15</v>
      </c>
      <c r="B3" s="136"/>
      <c r="C3" s="136"/>
      <c r="D3" s="147"/>
      <c r="E3" s="144"/>
      <c r="F3" s="88" t="s">
        <v>14</v>
      </c>
      <c r="G3" s="34">
        <v>7</v>
      </c>
      <c r="H3" s="34">
        <v>14</v>
      </c>
      <c r="I3" s="34">
        <v>21</v>
      </c>
      <c r="J3" s="35">
        <v>28</v>
      </c>
      <c r="K3" s="36">
        <v>4</v>
      </c>
      <c r="L3" s="34">
        <v>11</v>
      </c>
      <c r="M3" s="34">
        <v>18</v>
      </c>
      <c r="N3" s="35">
        <v>25</v>
      </c>
      <c r="O3" s="36">
        <v>1</v>
      </c>
      <c r="P3" s="34">
        <v>8</v>
      </c>
      <c r="Q3" s="34">
        <v>15</v>
      </c>
      <c r="R3" s="34">
        <v>22</v>
      </c>
      <c r="S3" s="35">
        <v>29</v>
      </c>
      <c r="T3" s="36"/>
      <c r="U3" s="35"/>
      <c r="V3" s="5"/>
      <c r="W3" s="19" t="s">
        <v>2</v>
      </c>
      <c r="X3" s="4" t="s">
        <v>3</v>
      </c>
      <c r="Y3" s="4" t="s">
        <v>25</v>
      </c>
      <c r="Z3" s="29" t="s">
        <v>19</v>
      </c>
    </row>
    <row r="4" spans="1:26" ht="13.8" thickBot="1" x14ac:dyDescent="0.3">
      <c r="A4" s="137" t="s">
        <v>20</v>
      </c>
      <c r="B4" s="138"/>
      <c r="C4" s="139"/>
      <c r="D4" s="147"/>
      <c r="E4" s="144"/>
      <c r="F4" s="89" t="s">
        <v>11</v>
      </c>
      <c r="G4" s="140" t="s">
        <v>18</v>
      </c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2"/>
      <c r="V4" s="5"/>
      <c r="W4" s="30"/>
      <c r="X4" s="10"/>
      <c r="Y4" s="40"/>
      <c r="Z4" s="16"/>
    </row>
    <row r="5" spans="1:26" ht="12.75" customHeight="1" x14ac:dyDescent="0.25">
      <c r="A5" s="125" t="s">
        <v>4</v>
      </c>
      <c r="B5" s="119" t="s">
        <v>43</v>
      </c>
      <c r="C5" s="120"/>
      <c r="D5" s="147"/>
      <c r="E5" s="144"/>
      <c r="F5" s="89" t="s">
        <v>35</v>
      </c>
      <c r="G5" s="45"/>
      <c r="H5" s="46"/>
      <c r="I5" s="46"/>
      <c r="J5" s="47"/>
      <c r="K5" s="48"/>
      <c r="L5" s="49"/>
      <c r="M5" s="49"/>
      <c r="N5" s="50"/>
      <c r="O5" s="51"/>
      <c r="P5" s="52"/>
      <c r="Q5" s="52"/>
      <c r="R5" s="52"/>
      <c r="S5" s="53"/>
      <c r="T5" s="51"/>
      <c r="U5" s="53"/>
      <c r="V5" s="5"/>
      <c r="W5" s="30"/>
      <c r="X5" s="10"/>
      <c r="Y5" s="40"/>
      <c r="Z5" s="16"/>
    </row>
    <row r="6" spans="1:26" ht="12.75" customHeight="1" x14ac:dyDescent="0.25">
      <c r="A6" s="126"/>
      <c r="B6" s="121"/>
      <c r="C6" s="122"/>
      <c r="D6" s="147"/>
      <c r="E6" s="144"/>
      <c r="F6" s="90" t="s">
        <v>36</v>
      </c>
      <c r="G6" s="45" t="s">
        <v>13</v>
      </c>
      <c r="H6" s="46" t="s">
        <v>12</v>
      </c>
      <c r="I6" s="46" t="s">
        <v>12</v>
      </c>
      <c r="J6" s="47" t="s">
        <v>12</v>
      </c>
      <c r="K6" s="48" t="s">
        <v>12</v>
      </c>
      <c r="L6" s="49" t="s">
        <v>12</v>
      </c>
      <c r="M6" s="49" t="s">
        <v>12</v>
      </c>
      <c r="N6" s="50" t="s">
        <v>12</v>
      </c>
      <c r="O6" s="51" t="s">
        <v>12</v>
      </c>
      <c r="P6" s="52" t="s">
        <v>12</v>
      </c>
      <c r="Q6" s="52" t="s">
        <v>12</v>
      </c>
      <c r="R6" s="52" t="s">
        <v>12</v>
      </c>
      <c r="S6" s="53" t="s">
        <v>12</v>
      </c>
      <c r="T6" s="51"/>
      <c r="U6" s="53"/>
      <c r="V6" s="5"/>
      <c r="W6" s="30"/>
      <c r="X6" s="10"/>
      <c r="Y6" s="41"/>
      <c r="Z6" s="16"/>
    </row>
    <row r="7" spans="1:26" x14ac:dyDescent="0.25">
      <c r="A7" s="127"/>
      <c r="B7" s="123"/>
      <c r="C7" s="124"/>
      <c r="D7" s="148"/>
      <c r="E7" s="145"/>
      <c r="F7" s="91" t="s">
        <v>0</v>
      </c>
      <c r="G7" s="19">
        <v>1</v>
      </c>
      <c r="H7" s="4">
        <v>2</v>
      </c>
      <c r="I7" s="4">
        <v>3</v>
      </c>
      <c r="J7" s="20">
        <v>4</v>
      </c>
      <c r="K7" s="24">
        <v>5</v>
      </c>
      <c r="L7" s="7">
        <v>6</v>
      </c>
      <c r="M7" s="7">
        <v>7</v>
      </c>
      <c r="N7" s="25">
        <v>8</v>
      </c>
      <c r="O7" s="27">
        <v>9</v>
      </c>
      <c r="P7" s="8">
        <v>10</v>
      </c>
      <c r="Q7" s="8">
        <v>11</v>
      </c>
      <c r="R7" s="8">
        <v>12</v>
      </c>
      <c r="S7" s="28">
        <v>13</v>
      </c>
      <c r="T7" s="27"/>
      <c r="U7" s="28"/>
      <c r="V7" s="6"/>
      <c r="W7" s="31"/>
      <c r="X7" s="11"/>
      <c r="Y7" s="42"/>
      <c r="Z7" s="57"/>
    </row>
    <row r="8" spans="1:26" ht="13.8" x14ac:dyDescent="0.25">
      <c r="A8" s="60">
        <v>1</v>
      </c>
      <c r="B8" s="76"/>
      <c r="C8" s="77"/>
      <c r="D8" s="92" t="str">
        <f ca="1">IF(MONTH(F8)=MONTH(W$1),IF(DAY(F8)=DAY(W$1),"H","M"),"")</f>
        <v/>
      </c>
      <c r="E8" s="93" t="str">
        <f>IF(F8=0,"",INT(((W$1-F8)/365.25)))</f>
        <v/>
      </c>
      <c r="F8" s="84"/>
      <c r="G8" s="21"/>
      <c r="H8" s="12"/>
      <c r="I8" s="12"/>
      <c r="J8" s="22"/>
      <c r="K8" s="21"/>
      <c r="L8" s="12"/>
      <c r="M8" s="12"/>
      <c r="N8" s="22"/>
      <c r="O8" s="21"/>
      <c r="P8" s="12"/>
      <c r="Q8" s="12"/>
      <c r="R8" s="12"/>
      <c r="S8" s="22"/>
      <c r="T8" s="26"/>
      <c r="U8" s="23"/>
      <c r="V8" s="6"/>
      <c r="W8" s="31">
        <f>COUNTIF(G8:U8,1)</f>
        <v>0</v>
      </c>
      <c r="X8" s="11">
        <f t="shared" ref="X8:X52" si="0">COUNTIF(F8:T8,0)</f>
        <v>0</v>
      </c>
      <c r="Y8" s="43">
        <f>(X8*100)/COUNTA(G7:U7)</f>
        <v>0</v>
      </c>
      <c r="Z8" s="37">
        <f>(W8*100)/COUNTA(G7:U7)</f>
        <v>0</v>
      </c>
    </row>
    <row r="9" spans="1:26" ht="13.8" x14ac:dyDescent="0.25">
      <c r="A9" s="60">
        <v>2</v>
      </c>
      <c r="B9" s="76"/>
      <c r="C9" s="77"/>
      <c r="D9" s="92" t="str">
        <f t="shared" ref="D9:D52" ca="1" si="1">IF(MONTH(F9)=MONTH(W$1),IF(DAY(F9)=DAY(W$1),"H","M"),"")</f>
        <v/>
      </c>
      <c r="E9" s="93" t="str">
        <f t="shared" ref="E9:E52" si="2">IF(F9=0,"",INT(((W$1-F9)/365.25)))</f>
        <v/>
      </c>
      <c r="F9" s="84"/>
      <c r="G9" s="21"/>
      <c r="H9" s="12"/>
      <c r="I9" s="12"/>
      <c r="J9" s="22"/>
      <c r="K9" s="21"/>
      <c r="L9" s="12"/>
      <c r="M9" s="12"/>
      <c r="N9" s="22"/>
      <c r="O9" s="21"/>
      <c r="P9" s="12"/>
      <c r="Q9" s="12"/>
      <c r="R9" s="12"/>
      <c r="S9" s="22"/>
      <c r="T9" s="26"/>
      <c r="U9" s="23"/>
      <c r="V9" s="6"/>
      <c r="W9" s="31">
        <f t="shared" ref="W9:W52" si="3">COUNTIF(G9:U9,1)</f>
        <v>0</v>
      </c>
      <c r="X9" s="11">
        <f t="shared" si="0"/>
        <v>0</v>
      </c>
      <c r="Y9" s="43">
        <f>(X9*100)/COUNTA(G7:U7)</f>
        <v>0</v>
      </c>
      <c r="Z9" s="37">
        <f>(W9*100)/COUNTA(G7:U7)</f>
        <v>0</v>
      </c>
    </row>
    <row r="10" spans="1:26" ht="13.8" x14ac:dyDescent="0.25">
      <c r="A10" s="60">
        <v>3</v>
      </c>
      <c r="B10" s="76"/>
      <c r="C10" s="77"/>
      <c r="D10" s="92" t="str">
        <f t="shared" ca="1" si="1"/>
        <v/>
      </c>
      <c r="E10" s="93" t="str">
        <f t="shared" si="2"/>
        <v/>
      </c>
      <c r="F10" s="84"/>
      <c r="G10" s="21"/>
      <c r="H10" s="12"/>
      <c r="I10" s="12"/>
      <c r="J10" s="22"/>
      <c r="K10" s="21"/>
      <c r="L10" s="12"/>
      <c r="M10" s="12"/>
      <c r="N10" s="22"/>
      <c r="O10" s="21"/>
      <c r="P10" s="12"/>
      <c r="Q10" s="12"/>
      <c r="R10" s="12"/>
      <c r="S10" s="22"/>
      <c r="T10" s="32"/>
      <c r="U10" s="33"/>
      <c r="V10" s="6"/>
      <c r="W10" s="31">
        <f t="shared" si="3"/>
        <v>0</v>
      </c>
      <c r="X10" s="11">
        <f t="shared" si="0"/>
        <v>0</v>
      </c>
      <c r="Y10" s="43">
        <f>(X10*100)/COUNTA(G7:U7)</f>
        <v>0</v>
      </c>
      <c r="Z10" s="37">
        <f>(W10*100)/COUNTA(G7:U7)</f>
        <v>0</v>
      </c>
    </row>
    <row r="11" spans="1:26" ht="13.8" x14ac:dyDescent="0.25">
      <c r="A11" s="60">
        <v>4</v>
      </c>
      <c r="B11" s="76"/>
      <c r="C11" s="77"/>
      <c r="D11" s="92" t="str">
        <f t="shared" ca="1" si="1"/>
        <v/>
      </c>
      <c r="E11" s="93" t="str">
        <f t="shared" si="2"/>
        <v/>
      </c>
      <c r="F11" s="84"/>
      <c r="G11" s="21"/>
      <c r="H11" s="12"/>
      <c r="I11" s="12"/>
      <c r="J11" s="22"/>
      <c r="K11" s="21"/>
      <c r="L11" s="12"/>
      <c r="M11" s="12"/>
      <c r="N11" s="22"/>
      <c r="O11" s="21"/>
      <c r="P11" s="12"/>
      <c r="Q11" s="12"/>
      <c r="R11" s="12"/>
      <c r="S11" s="22"/>
      <c r="T11" s="32"/>
      <c r="U11" s="33"/>
      <c r="V11" s="6"/>
      <c r="W11" s="31">
        <f t="shared" si="3"/>
        <v>0</v>
      </c>
      <c r="X11" s="11">
        <f t="shared" si="0"/>
        <v>0</v>
      </c>
      <c r="Y11" s="43">
        <f>(X11*100)/COUNTA(G7:U7)</f>
        <v>0</v>
      </c>
      <c r="Z11" s="37">
        <f>(W11*100)/COUNTA(G7:U7)</f>
        <v>0</v>
      </c>
    </row>
    <row r="12" spans="1:26" ht="13.8" x14ac:dyDescent="0.25">
      <c r="A12" s="60">
        <v>5</v>
      </c>
      <c r="B12" s="76"/>
      <c r="C12" s="77"/>
      <c r="D12" s="92" t="str">
        <f t="shared" ca="1" si="1"/>
        <v/>
      </c>
      <c r="E12" s="93" t="str">
        <f t="shared" si="2"/>
        <v/>
      </c>
      <c r="F12" s="84"/>
      <c r="G12" s="21"/>
      <c r="H12" s="12"/>
      <c r="I12" s="12"/>
      <c r="J12" s="22"/>
      <c r="K12" s="21"/>
      <c r="L12" s="12"/>
      <c r="M12" s="12"/>
      <c r="N12" s="22"/>
      <c r="O12" s="21"/>
      <c r="P12" s="12"/>
      <c r="Q12" s="12"/>
      <c r="R12" s="12"/>
      <c r="S12" s="22"/>
      <c r="T12" s="32"/>
      <c r="U12" s="33"/>
      <c r="V12" s="6"/>
      <c r="W12" s="31">
        <f t="shared" si="3"/>
        <v>0</v>
      </c>
      <c r="X12" s="11">
        <f t="shared" si="0"/>
        <v>0</v>
      </c>
      <c r="Y12" s="43">
        <f>(X12*100)/COUNTA(G7:U7)</f>
        <v>0</v>
      </c>
      <c r="Z12" s="37">
        <f>(W12*100)/COUNTA(G7:U7)</f>
        <v>0</v>
      </c>
    </row>
    <row r="13" spans="1:26" ht="13.8" x14ac:dyDescent="0.25">
      <c r="A13" s="60">
        <v>6</v>
      </c>
      <c r="B13" s="76"/>
      <c r="C13" s="77"/>
      <c r="D13" s="92" t="str">
        <f t="shared" ca="1" si="1"/>
        <v/>
      </c>
      <c r="E13" s="93" t="str">
        <f t="shared" si="2"/>
        <v/>
      </c>
      <c r="F13" s="84"/>
      <c r="G13" s="21"/>
      <c r="H13" s="12"/>
      <c r="I13" s="12"/>
      <c r="J13" s="22"/>
      <c r="K13" s="21"/>
      <c r="L13" s="12"/>
      <c r="M13" s="12"/>
      <c r="N13" s="22"/>
      <c r="O13" s="21"/>
      <c r="P13" s="12"/>
      <c r="Q13" s="12"/>
      <c r="R13" s="12"/>
      <c r="S13" s="22"/>
      <c r="T13" s="32"/>
      <c r="U13" s="33"/>
      <c r="V13" s="6"/>
      <c r="W13" s="31">
        <f t="shared" si="3"/>
        <v>0</v>
      </c>
      <c r="X13" s="11">
        <f t="shared" si="0"/>
        <v>0</v>
      </c>
      <c r="Y13" s="43">
        <f>(X13*100)/COUNTA(G7:U7)</f>
        <v>0</v>
      </c>
      <c r="Z13" s="37">
        <f>(W13*100)/COUNTA(G7:U7)</f>
        <v>0</v>
      </c>
    </row>
    <row r="14" spans="1:26" ht="13.8" x14ac:dyDescent="0.25">
      <c r="A14" s="60">
        <v>7</v>
      </c>
      <c r="B14" s="76"/>
      <c r="C14" s="77"/>
      <c r="D14" s="92" t="str">
        <f t="shared" ca="1" si="1"/>
        <v/>
      </c>
      <c r="E14" s="93" t="str">
        <f t="shared" si="2"/>
        <v/>
      </c>
      <c r="F14" s="84"/>
      <c r="G14" s="21"/>
      <c r="H14" s="12"/>
      <c r="I14" s="12"/>
      <c r="J14" s="22"/>
      <c r="K14" s="21"/>
      <c r="L14" s="12"/>
      <c r="M14" s="12"/>
      <c r="N14" s="22"/>
      <c r="O14" s="21"/>
      <c r="P14" s="12"/>
      <c r="Q14" s="12"/>
      <c r="R14" s="12"/>
      <c r="S14" s="22"/>
      <c r="T14" s="32"/>
      <c r="U14" s="33"/>
      <c r="V14" s="6"/>
      <c r="W14" s="31">
        <f t="shared" si="3"/>
        <v>0</v>
      </c>
      <c r="X14" s="11">
        <f t="shared" si="0"/>
        <v>0</v>
      </c>
      <c r="Y14" s="43">
        <f>(X14*100)/COUNTA(G7:U7)</f>
        <v>0</v>
      </c>
      <c r="Z14" s="37">
        <f>(W14*100)/COUNTA(G7:U7)</f>
        <v>0</v>
      </c>
    </row>
    <row r="15" spans="1:26" ht="13.8" x14ac:dyDescent="0.25">
      <c r="A15" s="60">
        <v>8</v>
      </c>
      <c r="B15" s="76"/>
      <c r="C15" s="77"/>
      <c r="D15" s="92" t="str">
        <f t="shared" ca="1" si="1"/>
        <v/>
      </c>
      <c r="E15" s="93" t="str">
        <f t="shared" si="2"/>
        <v/>
      </c>
      <c r="F15" s="84"/>
      <c r="G15" s="21"/>
      <c r="H15" s="12"/>
      <c r="I15" s="12"/>
      <c r="J15" s="22"/>
      <c r="K15" s="21"/>
      <c r="L15" s="12"/>
      <c r="M15" s="12"/>
      <c r="N15" s="22"/>
      <c r="O15" s="21"/>
      <c r="P15" s="12"/>
      <c r="Q15" s="12"/>
      <c r="R15" s="12"/>
      <c r="S15" s="22"/>
      <c r="T15" s="32"/>
      <c r="U15" s="33"/>
      <c r="V15" s="6"/>
      <c r="W15" s="31">
        <f t="shared" si="3"/>
        <v>0</v>
      </c>
      <c r="X15" s="11">
        <f t="shared" si="0"/>
        <v>0</v>
      </c>
      <c r="Y15" s="43">
        <f>(X15*100)/COUNTA(G7:U7)</f>
        <v>0</v>
      </c>
      <c r="Z15" s="37">
        <f>(W15*100)/COUNTA(G7:U7)</f>
        <v>0</v>
      </c>
    </row>
    <row r="16" spans="1:26" ht="13.8" x14ac:dyDescent="0.25">
      <c r="A16" s="60">
        <v>9</v>
      </c>
      <c r="B16" s="76"/>
      <c r="C16" s="77"/>
      <c r="D16" s="92" t="str">
        <f t="shared" ca="1" si="1"/>
        <v/>
      </c>
      <c r="E16" s="93" t="str">
        <f t="shared" si="2"/>
        <v/>
      </c>
      <c r="F16" s="84"/>
      <c r="G16" s="21"/>
      <c r="H16" s="12"/>
      <c r="I16" s="12"/>
      <c r="J16" s="22"/>
      <c r="K16" s="21"/>
      <c r="L16" s="12"/>
      <c r="M16" s="12"/>
      <c r="N16" s="22"/>
      <c r="O16" s="21"/>
      <c r="P16" s="12"/>
      <c r="Q16" s="12"/>
      <c r="R16" s="12"/>
      <c r="S16" s="22"/>
      <c r="T16" s="32"/>
      <c r="U16" s="33"/>
      <c r="V16" s="6"/>
      <c r="W16" s="31">
        <f t="shared" si="3"/>
        <v>0</v>
      </c>
      <c r="X16" s="11">
        <f t="shared" si="0"/>
        <v>0</v>
      </c>
      <c r="Y16" s="43">
        <f>(X16*100)/COUNTA(G7:U7)</f>
        <v>0</v>
      </c>
      <c r="Z16" s="37">
        <f>(W16*100)/COUNTA(G7:U7)</f>
        <v>0</v>
      </c>
    </row>
    <row r="17" spans="1:26" ht="13.8" x14ac:dyDescent="0.25">
      <c r="A17" s="60">
        <v>10</v>
      </c>
      <c r="B17" s="76"/>
      <c r="C17" s="77"/>
      <c r="D17" s="92" t="str">
        <f t="shared" ca="1" si="1"/>
        <v/>
      </c>
      <c r="E17" s="93" t="str">
        <f t="shared" si="2"/>
        <v/>
      </c>
      <c r="F17" s="84"/>
      <c r="G17" s="21"/>
      <c r="H17" s="12"/>
      <c r="I17" s="12"/>
      <c r="J17" s="22"/>
      <c r="K17" s="21"/>
      <c r="L17" s="12"/>
      <c r="M17" s="12"/>
      <c r="N17" s="22"/>
      <c r="O17" s="21"/>
      <c r="P17" s="12"/>
      <c r="Q17" s="12"/>
      <c r="R17" s="12"/>
      <c r="S17" s="22"/>
      <c r="T17" s="32"/>
      <c r="U17" s="33"/>
      <c r="V17" s="6"/>
      <c r="W17" s="31">
        <f t="shared" si="3"/>
        <v>0</v>
      </c>
      <c r="X17" s="11">
        <f t="shared" si="0"/>
        <v>0</v>
      </c>
      <c r="Y17" s="43">
        <f>(X17*100)/COUNTA(G7:U7)</f>
        <v>0</v>
      </c>
      <c r="Z17" s="37">
        <f>(W17*100)/COUNTA(G7:U7)</f>
        <v>0</v>
      </c>
    </row>
    <row r="18" spans="1:26" ht="13.8" x14ac:dyDescent="0.25">
      <c r="A18" s="60">
        <v>11</v>
      </c>
      <c r="B18" s="76"/>
      <c r="C18" s="77"/>
      <c r="D18" s="92" t="str">
        <f t="shared" ca="1" si="1"/>
        <v/>
      </c>
      <c r="E18" s="93" t="str">
        <f t="shared" si="2"/>
        <v/>
      </c>
      <c r="F18" s="84"/>
      <c r="G18" s="21"/>
      <c r="H18" s="12"/>
      <c r="I18" s="12"/>
      <c r="J18" s="22"/>
      <c r="K18" s="21"/>
      <c r="L18" s="12"/>
      <c r="M18" s="12"/>
      <c r="N18" s="22"/>
      <c r="O18" s="21"/>
      <c r="P18" s="12"/>
      <c r="Q18" s="12"/>
      <c r="R18" s="12"/>
      <c r="S18" s="22"/>
      <c r="T18" s="32"/>
      <c r="U18" s="33"/>
      <c r="V18" s="6"/>
      <c r="W18" s="31">
        <f t="shared" si="3"/>
        <v>0</v>
      </c>
      <c r="X18" s="11">
        <f t="shared" si="0"/>
        <v>0</v>
      </c>
      <c r="Y18" s="43">
        <f>(X18*100)/COUNTA(G7:U7)</f>
        <v>0</v>
      </c>
      <c r="Z18" s="37">
        <f>(W18*100)/COUNTA(G7:U7)</f>
        <v>0</v>
      </c>
    </row>
    <row r="19" spans="1:26" ht="13.8" x14ac:dyDescent="0.25">
      <c r="A19" s="60">
        <v>12</v>
      </c>
      <c r="B19" s="76"/>
      <c r="C19" s="77"/>
      <c r="D19" s="92" t="str">
        <f t="shared" ca="1" si="1"/>
        <v/>
      </c>
      <c r="E19" s="93" t="str">
        <f t="shared" si="2"/>
        <v/>
      </c>
      <c r="F19" s="84"/>
      <c r="G19" s="21"/>
      <c r="H19" s="12"/>
      <c r="I19" s="12"/>
      <c r="J19" s="22"/>
      <c r="K19" s="21"/>
      <c r="L19" s="12"/>
      <c r="M19" s="12"/>
      <c r="N19" s="22"/>
      <c r="O19" s="21"/>
      <c r="P19" s="12"/>
      <c r="Q19" s="12"/>
      <c r="R19" s="12"/>
      <c r="S19" s="22"/>
      <c r="T19" s="32"/>
      <c r="U19" s="33"/>
      <c r="V19" s="6"/>
      <c r="W19" s="31">
        <f t="shared" si="3"/>
        <v>0</v>
      </c>
      <c r="X19" s="11">
        <f t="shared" si="0"/>
        <v>0</v>
      </c>
      <c r="Y19" s="43">
        <f>(X19*100)/COUNTA(G7:U7)</f>
        <v>0</v>
      </c>
      <c r="Z19" s="37">
        <f>(W19*100)/COUNTA(G7:U7)</f>
        <v>0</v>
      </c>
    </row>
    <row r="20" spans="1:26" ht="13.8" x14ac:dyDescent="0.25">
      <c r="A20" s="60">
        <v>13</v>
      </c>
      <c r="B20" s="76"/>
      <c r="C20" s="77"/>
      <c r="D20" s="92" t="str">
        <f t="shared" ca="1" si="1"/>
        <v/>
      </c>
      <c r="E20" s="93" t="str">
        <f t="shared" si="2"/>
        <v/>
      </c>
      <c r="F20" s="84"/>
      <c r="G20" s="21"/>
      <c r="H20" s="12"/>
      <c r="I20" s="12"/>
      <c r="J20" s="22"/>
      <c r="K20" s="21"/>
      <c r="L20" s="12"/>
      <c r="M20" s="12"/>
      <c r="N20" s="22"/>
      <c r="O20" s="21"/>
      <c r="P20" s="12"/>
      <c r="Q20" s="12"/>
      <c r="R20" s="12"/>
      <c r="S20" s="22"/>
      <c r="T20" s="32"/>
      <c r="U20" s="33"/>
      <c r="V20" s="6"/>
      <c r="W20" s="31">
        <f t="shared" si="3"/>
        <v>0</v>
      </c>
      <c r="X20" s="11">
        <f t="shared" si="0"/>
        <v>0</v>
      </c>
      <c r="Y20" s="43">
        <f>(X20*100)/COUNTA(G7:U7)</f>
        <v>0</v>
      </c>
      <c r="Z20" s="37">
        <f>(W20*100)/COUNTA(G7:U7)</f>
        <v>0</v>
      </c>
    </row>
    <row r="21" spans="1:26" ht="13.8" x14ac:dyDescent="0.25">
      <c r="A21" s="60">
        <v>14</v>
      </c>
      <c r="B21" s="76"/>
      <c r="C21" s="77"/>
      <c r="D21" s="92" t="str">
        <f t="shared" ca="1" si="1"/>
        <v/>
      </c>
      <c r="E21" s="93" t="str">
        <f t="shared" si="2"/>
        <v/>
      </c>
      <c r="F21" s="84"/>
      <c r="G21" s="21"/>
      <c r="H21" s="12"/>
      <c r="I21" s="12"/>
      <c r="J21" s="22"/>
      <c r="K21" s="21"/>
      <c r="L21" s="12"/>
      <c r="M21" s="12"/>
      <c r="N21" s="22"/>
      <c r="O21" s="21"/>
      <c r="P21" s="12"/>
      <c r="Q21" s="12"/>
      <c r="R21" s="12"/>
      <c r="S21" s="22"/>
      <c r="T21" s="32"/>
      <c r="U21" s="33"/>
      <c r="V21" s="6"/>
      <c r="W21" s="31">
        <f t="shared" si="3"/>
        <v>0</v>
      </c>
      <c r="X21" s="11">
        <f t="shared" si="0"/>
        <v>0</v>
      </c>
      <c r="Y21" s="43">
        <f>(X21*100)/COUNTA(G7:U7)</f>
        <v>0</v>
      </c>
      <c r="Z21" s="37">
        <f>(W21*100)/COUNTA(G7:U7)</f>
        <v>0</v>
      </c>
    </row>
    <row r="22" spans="1:26" ht="13.8" x14ac:dyDescent="0.25">
      <c r="A22" s="60">
        <v>15</v>
      </c>
      <c r="B22" s="76"/>
      <c r="C22" s="77"/>
      <c r="D22" s="92" t="str">
        <f t="shared" ca="1" si="1"/>
        <v/>
      </c>
      <c r="E22" s="93" t="str">
        <f t="shared" si="2"/>
        <v/>
      </c>
      <c r="F22" s="84"/>
      <c r="G22" s="21"/>
      <c r="H22" s="12"/>
      <c r="I22" s="12"/>
      <c r="J22" s="22"/>
      <c r="K22" s="21"/>
      <c r="L22" s="12"/>
      <c r="M22" s="12"/>
      <c r="N22" s="22"/>
      <c r="O22" s="21"/>
      <c r="P22" s="12"/>
      <c r="Q22" s="12"/>
      <c r="R22" s="12"/>
      <c r="S22" s="22"/>
      <c r="T22" s="32"/>
      <c r="U22" s="33"/>
      <c r="V22" s="6"/>
      <c r="W22" s="31">
        <f>COUNTIF(G22:U22,1)</f>
        <v>0</v>
      </c>
      <c r="X22" s="11">
        <f>COUNTIF(F22:T22,0)</f>
        <v>0</v>
      </c>
      <c r="Y22" s="43">
        <f>(X22*100)/COUNTA(G7:U7)</f>
        <v>0</v>
      </c>
      <c r="Z22" s="37">
        <f>(W22*100)/COUNTA(G7:U7)</f>
        <v>0</v>
      </c>
    </row>
    <row r="23" spans="1:26" ht="13.8" x14ac:dyDescent="0.25">
      <c r="A23" s="60">
        <v>16</v>
      </c>
      <c r="B23" s="76"/>
      <c r="C23" s="77"/>
      <c r="D23" s="92" t="str">
        <f t="shared" ca="1" si="1"/>
        <v/>
      </c>
      <c r="E23" s="93" t="str">
        <f t="shared" si="2"/>
        <v/>
      </c>
      <c r="F23" s="84"/>
      <c r="G23" s="21"/>
      <c r="H23" s="12"/>
      <c r="I23" s="12"/>
      <c r="J23" s="22"/>
      <c r="K23" s="21"/>
      <c r="L23" s="12"/>
      <c r="M23" s="12"/>
      <c r="N23" s="22"/>
      <c r="O23" s="21"/>
      <c r="P23" s="12"/>
      <c r="Q23" s="12"/>
      <c r="R23" s="12"/>
      <c r="S23" s="22"/>
      <c r="T23" s="32"/>
      <c r="U23" s="33"/>
      <c r="V23" s="6"/>
      <c r="W23" s="31">
        <f t="shared" si="3"/>
        <v>0</v>
      </c>
      <c r="X23" s="11">
        <f t="shared" si="0"/>
        <v>0</v>
      </c>
      <c r="Y23" s="43">
        <f>(X23*100)/COUNTA(G7:U7)</f>
        <v>0</v>
      </c>
      <c r="Z23" s="37">
        <f>(W23*100)/COUNTA(G7:U7)</f>
        <v>0</v>
      </c>
    </row>
    <row r="24" spans="1:26" ht="13.8" x14ac:dyDescent="0.25">
      <c r="A24" s="60">
        <v>17</v>
      </c>
      <c r="B24" s="76"/>
      <c r="C24" s="77"/>
      <c r="D24" s="92" t="str">
        <f t="shared" ca="1" si="1"/>
        <v/>
      </c>
      <c r="E24" s="93" t="str">
        <f t="shared" si="2"/>
        <v/>
      </c>
      <c r="F24" s="84"/>
      <c r="G24" s="21"/>
      <c r="H24" s="12"/>
      <c r="I24" s="12"/>
      <c r="J24" s="22"/>
      <c r="K24" s="21"/>
      <c r="L24" s="12"/>
      <c r="M24" s="12"/>
      <c r="N24" s="22"/>
      <c r="O24" s="21"/>
      <c r="P24" s="12"/>
      <c r="Q24" s="12"/>
      <c r="R24" s="12"/>
      <c r="S24" s="22"/>
      <c r="T24" s="32"/>
      <c r="U24" s="33"/>
      <c r="V24" s="6"/>
      <c r="W24" s="31">
        <f t="shared" si="3"/>
        <v>0</v>
      </c>
      <c r="X24" s="11">
        <f t="shared" si="0"/>
        <v>0</v>
      </c>
      <c r="Y24" s="43">
        <f>(X24*100)/COUNTA(G7:U7)</f>
        <v>0</v>
      </c>
      <c r="Z24" s="37">
        <f>(W24*100)/COUNTA(G7:U7)</f>
        <v>0</v>
      </c>
    </row>
    <row r="25" spans="1:26" ht="13.8" x14ac:dyDescent="0.25">
      <c r="A25" s="60">
        <v>18</v>
      </c>
      <c r="B25" s="76"/>
      <c r="C25" s="77"/>
      <c r="D25" s="92" t="str">
        <f t="shared" ca="1" si="1"/>
        <v/>
      </c>
      <c r="E25" s="93" t="str">
        <f t="shared" si="2"/>
        <v/>
      </c>
      <c r="F25" s="84"/>
      <c r="G25" s="21"/>
      <c r="H25" s="12"/>
      <c r="I25" s="12"/>
      <c r="J25" s="22"/>
      <c r="K25" s="21"/>
      <c r="L25" s="12"/>
      <c r="M25" s="12"/>
      <c r="N25" s="22"/>
      <c r="O25" s="21"/>
      <c r="P25" s="12"/>
      <c r="Q25" s="12"/>
      <c r="R25" s="12"/>
      <c r="S25" s="22"/>
      <c r="T25" s="32"/>
      <c r="U25" s="33"/>
      <c r="V25" s="6"/>
      <c r="W25" s="31">
        <f t="shared" si="3"/>
        <v>0</v>
      </c>
      <c r="X25" s="11">
        <f t="shared" si="0"/>
        <v>0</v>
      </c>
      <c r="Y25" s="43">
        <f>(X25*100)/COUNTA(G7:U7)</f>
        <v>0</v>
      </c>
      <c r="Z25" s="37">
        <f>(W25*100)/COUNTA(G7:U7)</f>
        <v>0</v>
      </c>
    </row>
    <row r="26" spans="1:26" ht="13.8" x14ac:dyDescent="0.25">
      <c r="A26" s="60">
        <v>19</v>
      </c>
      <c r="B26" s="76"/>
      <c r="C26" s="77"/>
      <c r="D26" s="92" t="str">
        <f t="shared" ca="1" si="1"/>
        <v/>
      </c>
      <c r="E26" s="93" t="str">
        <f t="shared" si="2"/>
        <v/>
      </c>
      <c r="F26" s="84"/>
      <c r="G26" s="21"/>
      <c r="H26" s="12"/>
      <c r="I26" s="12"/>
      <c r="J26" s="22"/>
      <c r="K26" s="21"/>
      <c r="L26" s="12"/>
      <c r="M26" s="12"/>
      <c r="N26" s="22"/>
      <c r="O26" s="21"/>
      <c r="P26" s="12"/>
      <c r="Q26" s="12"/>
      <c r="R26" s="12"/>
      <c r="S26" s="22"/>
      <c r="T26" s="32"/>
      <c r="U26" s="33"/>
      <c r="V26" s="6"/>
      <c r="W26" s="31">
        <f t="shared" si="3"/>
        <v>0</v>
      </c>
      <c r="X26" s="11">
        <f t="shared" si="0"/>
        <v>0</v>
      </c>
      <c r="Y26" s="43">
        <f>(X26*100)/COUNTA(G7:U7)</f>
        <v>0</v>
      </c>
      <c r="Z26" s="37">
        <f>(W26*100)/COUNTA(G7:U7)</f>
        <v>0</v>
      </c>
    </row>
    <row r="27" spans="1:26" ht="13.8" x14ac:dyDescent="0.25">
      <c r="A27" s="60">
        <v>20</v>
      </c>
      <c r="B27" s="76"/>
      <c r="C27" s="77"/>
      <c r="D27" s="92" t="str">
        <f t="shared" ca="1" si="1"/>
        <v/>
      </c>
      <c r="E27" s="93" t="str">
        <f t="shared" si="2"/>
        <v/>
      </c>
      <c r="F27" s="84"/>
      <c r="G27" s="21"/>
      <c r="H27" s="12"/>
      <c r="I27" s="12"/>
      <c r="J27" s="22"/>
      <c r="K27" s="21"/>
      <c r="L27" s="12"/>
      <c r="M27" s="12"/>
      <c r="N27" s="22"/>
      <c r="O27" s="21"/>
      <c r="P27" s="12"/>
      <c r="Q27" s="12"/>
      <c r="R27" s="12"/>
      <c r="S27" s="22"/>
      <c r="T27" s="32"/>
      <c r="U27" s="33"/>
      <c r="V27" s="6"/>
      <c r="W27" s="31">
        <f t="shared" si="3"/>
        <v>0</v>
      </c>
      <c r="X27" s="11">
        <f t="shared" si="0"/>
        <v>0</v>
      </c>
      <c r="Y27" s="43">
        <f>(X27*100)/COUNTA(G7:U7)</f>
        <v>0</v>
      </c>
      <c r="Z27" s="37">
        <f>(W27*100)/COUNTA(G7:U7)</f>
        <v>0</v>
      </c>
    </row>
    <row r="28" spans="1:26" ht="13.8" x14ac:dyDescent="0.25">
      <c r="A28" s="60">
        <v>21</v>
      </c>
      <c r="B28" s="76"/>
      <c r="C28" s="77"/>
      <c r="D28" s="92" t="str">
        <f t="shared" ca="1" si="1"/>
        <v/>
      </c>
      <c r="E28" s="93" t="str">
        <f t="shared" si="2"/>
        <v/>
      </c>
      <c r="F28" s="84"/>
      <c r="G28" s="21"/>
      <c r="H28" s="12"/>
      <c r="I28" s="12"/>
      <c r="J28" s="22"/>
      <c r="K28" s="21"/>
      <c r="L28" s="12"/>
      <c r="M28" s="12"/>
      <c r="N28" s="22"/>
      <c r="O28" s="21"/>
      <c r="P28" s="12"/>
      <c r="Q28" s="12"/>
      <c r="R28" s="12"/>
      <c r="S28" s="22"/>
      <c r="T28" s="32"/>
      <c r="U28" s="33"/>
      <c r="V28" s="6"/>
      <c r="W28" s="31">
        <f t="shared" si="3"/>
        <v>0</v>
      </c>
      <c r="X28" s="11">
        <f t="shared" si="0"/>
        <v>0</v>
      </c>
      <c r="Y28" s="43">
        <f>(X28*100)/COUNTA(G7:U7)</f>
        <v>0</v>
      </c>
      <c r="Z28" s="37">
        <f>(W28*100)/COUNTA(G7:U7)</f>
        <v>0</v>
      </c>
    </row>
    <row r="29" spans="1:26" ht="13.8" x14ac:dyDescent="0.25">
      <c r="A29" s="60">
        <v>22</v>
      </c>
      <c r="B29" s="80"/>
      <c r="C29" s="81"/>
      <c r="D29" s="92" t="str">
        <f t="shared" ca="1" si="1"/>
        <v/>
      </c>
      <c r="E29" s="93" t="str">
        <f t="shared" si="2"/>
        <v/>
      </c>
      <c r="F29" s="85"/>
      <c r="G29" s="21"/>
      <c r="H29" s="12"/>
      <c r="I29" s="13"/>
      <c r="J29" s="23"/>
      <c r="K29" s="26"/>
      <c r="L29" s="13"/>
      <c r="M29" s="13"/>
      <c r="N29" s="23"/>
      <c r="O29" s="26"/>
      <c r="P29" s="13"/>
      <c r="Q29" s="13"/>
      <c r="R29" s="13"/>
      <c r="S29" s="23"/>
      <c r="T29" s="32"/>
      <c r="U29" s="33"/>
      <c r="V29" s="6"/>
      <c r="W29" s="31">
        <f t="shared" si="3"/>
        <v>0</v>
      </c>
      <c r="X29" s="11">
        <f t="shared" si="0"/>
        <v>0</v>
      </c>
      <c r="Y29" s="43">
        <f>(X29*100)/COUNTA(G7:U7)</f>
        <v>0</v>
      </c>
      <c r="Z29" s="37">
        <f>(W29*100)/COUNTA(G7:U7)</f>
        <v>0</v>
      </c>
    </row>
    <row r="30" spans="1:26" ht="13.8" x14ac:dyDescent="0.25">
      <c r="A30" s="60">
        <v>23</v>
      </c>
      <c r="B30" s="80"/>
      <c r="C30" s="81"/>
      <c r="D30" s="92" t="str">
        <f t="shared" ca="1" si="1"/>
        <v/>
      </c>
      <c r="E30" s="93" t="str">
        <f t="shared" si="2"/>
        <v/>
      </c>
      <c r="F30" s="85"/>
      <c r="G30" s="21"/>
      <c r="H30" s="12"/>
      <c r="I30" s="13"/>
      <c r="J30" s="23"/>
      <c r="K30" s="26"/>
      <c r="L30" s="13"/>
      <c r="M30" s="13"/>
      <c r="N30" s="23"/>
      <c r="O30" s="26"/>
      <c r="P30" s="13"/>
      <c r="Q30" s="13"/>
      <c r="R30" s="13"/>
      <c r="S30" s="23"/>
      <c r="T30" s="32"/>
      <c r="U30" s="33"/>
      <c r="V30" s="6"/>
      <c r="W30" s="31">
        <f t="shared" si="3"/>
        <v>0</v>
      </c>
      <c r="X30" s="11">
        <f t="shared" si="0"/>
        <v>0</v>
      </c>
      <c r="Y30" s="43">
        <f>(X30*100)/COUNTA(G7:U7)</f>
        <v>0</v>
      </c>
      <c r="Z30" s="37">
        <f>(W30*100)/COUNTA(G7:U7)</f>
        <v>0</v>
      </c>
    </row>
    <row r="31" spans="1:26" ht="13.8" x14ac:dyDescent="0.25">
      <c r="A31" s="60">
        <v>24</v>
      </c>
      <c r="B31" s="80"/>
      <c r="C31" s="81"/>
      <c r="D31" s="92" t="str">
        <f t="shared" ca="1" si="1"/>
        <v/>
      </c>
      <c r="E31" s="93" t="str">
        <f t="shared" si="2"/>
        <v/>
      </c>
      <c r="F31" s="85"/>
      <c r="G31" s="21"/>
      <c r="H31" s="12"/>
      <c r="I31" s="13"/>
      <c r="J31" s="23"/>
      <c r="K31" s="26"/>
      <c r="L31" s="13"/>
      <c r="M31" s="13"/>
      <c r="N31" s="23"/>
      <c r="O31" s="26"/>
      <c r="P31" s="13"/>
      <c r="Q31" s="13"/>
      <c r="R31" s="13"/>
      <c r="S31" s="23"/>
      <c r="T31" s="32"/>
      <c r="U31" s="33"/>
      <c r="V31" s="6"/>
      <c r="W31" s="31">
        <f t="shared" si="3"/>
        <v>0</v>
      </c>
      <c r="X31" s="11">
        <f t="shared" si="0"/>
        <v>0</v>
      </c>
      <c r="Y31" s="43">
        <f>(X31*100)/COUNTA(G7:U7)</f>
        <v>0</v>
      </c>
      <c r="Z31" s="37">
        <f>(W31*100)/COUNTA(G7:U7)</f>
        <v>0</v>
      </c>
    </row>
    <row r="32" spans="1:26" ht="13.8" x14ac:dyDescent="0.25">
      <c r="A32" s="60">
        <v>25</v>
      </c>
      <c r="B32" s="80"/>
      <c r="C32" s="81"/>
      <c r="D32" s="92" t="str">
        <f t="shared" ca="1" si="1"/>
        <v/>
      </c>
      <c r="E32" s="93" t="str">
        <f t="shared" si="2"/>
        <v/>
      </c>
      <c r="F32" s="85"/>
      <c r="G32" s="21"/>
      <c r="H32" s="12"/>
      <c r="I32" s="13"/>
      <c r="J32" s="23"/>
      <c r="K32" s="26"/>
      <c r="L32" s="13"/>
      <c r="M32" s="13"/>
      <c r="N32" s="23"/>
      <c r="O32" s="26"/>
      <c r="P32" s="13"/>
      <c r="Q32" s="13"/>
      <c r="R32" s="13"/>
      <c r="S32" s="23"/>
      <c r="T32" s="32"/>
      <c r="U32" s="33"/>
      <c r="V32" s="6"/>
      <c r="W32" s="31">
        <f t="shared" si="3"/>
        <v>0</v>
      </c>
      <c r="X32" s="11">
        <f t="shared" si="0"/>
        <v>0</v>
      </c>
      <c r="Y32" s="43">
        <f>(X32*100)/COUNTA(G7:U7)</f>
        <v>0</v>
      </c>
      <c r="Z32" s="37">
        <f>(W32*100)/COUNTA(G7:U7)</f>
        <v>0</v>
      </c>
    </row>
    <row r="33" spans="1:26" ht="13.8" x14ac:dyDescent="0.25">
      <c r="A33" s="60">
        <v>26</v>
      </c>
      <c r="B33" s="80"/>
      <c r="C33" s="81"/>
      <c r="D33" s="92" t="str">
        <f t="shared" ca="1" si="1"/>
        <v/>
      </c>
      <c r="E33" s="93" t="str">
        <f t="shared" si="2"/>
        <v/>
      </c>
      <c r="F33" s="85"/>
      <c r="G33" s="21"/>
      <c r="H33" s="12"/>
      <c r="I33" s="13"/>
      <c r="J33" s="23"/>
      <c r="K33" s="26"/>
      <c r="L33" s="13"/>
      <c r="M33" s="13"/>
      <c r="N33" s="23"/>
      <c r="O33" s="26"/>
      <c r="P33" s="13"/>
      <c r="Q33" s="13"/>
      <c r="R33" s="13"/>
      <c r="S33" s="23"/>
      <c r="T33" s="32"/>
      <c r="U33" s="33"/>
      <c r="V33" s="6"/>
      <c r="W33" s="31">
        <f t="shared" si="3"/>
        <v>0</v>
      </c>
      <c r="X33" s="11">
        <f t="shared" si="0"/>
        <v>0</v>
      </c>
      <c r="Y33" s="43">
        <f>(X33*100)/COUNTA(G7:U7)</f>
        <v>0</v>
      </c>
      <c r="Z33" s="37">
        <f>(W33*100)/COUNTA(G7:U7)</f>
        <v>0</v>
      </c>
    </row>
    <row r="34" spans="1:26" ht="13.8" x14ac:dyDescent="0.25">
      <c r="A34" s="60">
        <v>27</v>
      </c>
      <c r="B34" s="80"/>
      <c r="C34" s="81"/>
      <c r="D34" s="92" t="str">
        <f t="shared" ca="1" si="1"/>
        <v/>
      </c>
      <c r="E34" s="93" t="str">
        <f t="shared" si="2"/>
        <v/>
      </c>
      <c r="F34" s="85"/>
      <c r="G34" s="21"/>
      <c r="H34" s="12"/>
      <c r="I34" s="13"/>
      <c r="J34" s="23"/>
      <c r="K34" s="26"/>
      <c r="L34" s="13"/>
      <c r="M34" s="13"/>
      <c r="N34" s="23"/>
      <c r="O34" s="26"/>
      <c r="P34" s="13"/>
      <c r="Q34" s="13"/>
      <c r="R34" s="13"/>
      <c r="S34" s="23"/>
      <c r="T34" s="32"/>
      <c r="U34" s="33"/>
      <c r="V34" s="6"/>
      <c r="W34" s="31">
        <f t="shared" si="3"/>
        <v>0</v>
      </c>
      <c r="X34" s="11">
        <f t="shared" si="0"/>
        <v>0</v>
      </c>
      <c r="Y34" s="43">
        <f>(X34*100)/COUNTA(G7:U7)</f>
        <v>0</v>
      </c>
      <c r="Z34" s="37">
        <f>(W34*100)/COUNTA(G7:U7)</f>
        <v>0</v>
      </c>
    </row>
    <row r="35" spans="1:26" ht="13.8" x14ac:dyDescent="0.25">
      <c r="A35" s="60">
        <v>28</v>
      </c>
      <c r="B35" s="80"/>
      <c r="C35" s="81"/>
      <c r="D35" s="92" t="str">
        <f t="shared" ca="1" si="1"/>
        <v/>
      </c>
      <c r="E35" s="93" t="str">
        <f t="shared" si="2"/>
        <v/>
      </c>
      <c r="F35" s="85"/>
      <c r="G35" s="21"/>
      <c r="H35" s="12"/>
      <c r="I35" s="13"/>
      <c r="J35" s="23"/>
      <c r="K35" s="26"/>
      <c r="L35" s="13"/>
      <c r="M35" s="13"/>
      <c r="N35" s="23"/>
      <c r="O35" s="26"/>
      <c r="P35" s="13"/>
      <c r="Q35" s="13"/>
      <c r="R35" s="13"/>
      <c r="S35" s="23"/>
      <c r="T35" s="32"/>
      <c r="U35" s="33"/>
      <c r="V35" s="6"/>
      <c r="W35" s="31">
        <f t="shared" si="3"/>
        <v>0</v>
      </c>
      <c r="X35" s="11">
        <f t="shared" si="0"/>
        <v>0</v>
      </c>
      <c r="Y35" s="43">
        <f>(X35*100)/COUNTA(G7:U7)</f>
        <v>0</v>
      </c>
      <c r="Z35" s="37">
        <f>(W35*100)/COUNTA(G7:U7)</f>
        <v>0</v>
      </c>
    </row>
    <row r="36" spans="1:26" ht="13.8" x14ac:dyDescent="0.25">
      <c r="A36" s="60">
        <v>29</v>
      </c>
      <c r="B36" s="80"/>
      <c r="C36" s="81"/>
      <c r="D36" s="92" t="str">
        <f t="shared" ca="1" si="1"/>
        <v/>
      </c>
      <c r="E36" s="93" t="str">
        <f t="shared" si="2"/>
        <v/>
      </c>
      <c r="F36" s="85"/>
      <c r="G36" s="21"/>
      <c r="H36" s="12"/>
      <c r="I36" s="13"/>
      <c r="J36" s="23"/>
      <c r="K36" s="26"/>
      <c r="L36" s="13"/>
      <c r="M36" s="13"/>
      <c r="N36" s="23"/>
      <c r="O36" s="26"/>
      <c r="P36" s="13"/>
      <c r="Q36" s="13"/>
      <c r="R36" s="13"/>
      <c r="S36" s="23"/>
      <c r="T36" s="32"/>
      <c r="U36" s="33"/>
      <c r="V36" s="6"/>
      <c r="W36" s="31">
        <f t="shared" si="3"/>
        <v>0</v>
      </c>
      <c r="X36" s="11">
        <f t="shared" si="0"/>
        <v>0</v>
      </c>
      <c r="Y36" s="43">
        <f>(X36*100)/COUNTA(G7:U7)</f>
        <v>0</v>
      </c>
      <c r="Z36" s="37">
        <f>(W36*100)/COUNTA(G7:U7)</f>
        <v>0</v>
      </c>
    </row>
    <row r="37" spans="1:26" ht="13.8" x14ac:dyDescent="0.25">
      <c r="A37" s="60">
        <v>30</v>
      </c>
      <c r="B37" s="80"/>
      <c r="C37" s="81"/>
      <c r="D37" s="92" t="str">
        <f t="shared" ca="1" si="1"/>
        <v/>
      </c>
      <c r="E37" s="93" t="str">
        <f t="shared" si="2"/>
        <v/>
      </c>
      <c r="F37" s="85"/>
      <c r="G37" s="21"/>
      <c r="H37" s="12"/>
      <c r="I37" s="13"/>
      <c r="J37" s="23"/>
      <c r="K37" s="26"/>
      <c r="L37" s="13"/>
      <c r="M37" s="13"/>
      <c r="N37" s="23"/>
      <c r="O37" s="26"/>
      <c r="P37" s="13"/>
      <c r="Q37" s="13"/>
      <c r="R37" s="13"/>
      <c r="S37" s="23"/>
      <c r="T37" s="32"/>
      <c r="U37" s="33"/>
      <c r="V37" s="6"/>
      <c r="W37" s="31">
        <f t="shared" si="3"/>
        <v>0</v>
      </c>
      <c r="X37" s="11">
        <f t="shared" si="0"/>
        <v>0</v>
      </c>
      <c r="Y37" s="43">
        <f>(X37*100)/COUNTA(G7:U7)</f>
        <v>0</v>
      </c>
      <c r="Z37" s="37">
        <f>(W37*100)/COUNTA(G7:U7)</f>
        <v>0</v>
      </c>
    </row>
    <row r="38" spans="1:26" ht="13.8" x14ac:dyDescent="0.25">
      <c r="A38" s="60">
        <v>31</v>
      </c>
      <c r="B38" s="80"/>
      <c r="C38" s="81"/>
      <c r="D38" s="92" t="str">
        <f t="shared" ca="1" si="1"/>
        <v/>
      </c>
      <c r="E38" s="93" t="str">
        <f t="shared" si="2"/>
        <v/>
      </c>
      <c r="F38" s="85"/>
      <c r="G38" s="21"/>
      <c r="H38" s="12"/>
      <c r="I38" s="13"/>
      <c r="J38" s="23"/>
      <c r="K38" s="26"/>
      <c r="L38" s="13"/>
      <c r="M38" s="13"/>
      <c r="N38" s="23"/>
      <c r="O38" s="26"/>
      <c r="P38" s="13"/>
      <c r="Q38" s="13"/>
      <c r="R38" s="13"/>
      <c r="S38" s="23"/>
      <c r="T38" s="32"/>
      <c r="U38" s="33"/>
      <c r="V38" s="6"/>
      <c r="W38" s="31">
        <f t="shared" si="3"/>
        <v>0</v>
      </c>
      <c r="X38" s="11">
        <f t="shared" si="0"/>
        <v>0</v>
      </c>
      <c r="Y38" s="43">
        <f>(X38*100)/COUNTA(G7:U7)</f>
        <v>0</v>
      </c>
      <c r="Z38" s="37">
        <f>(W38*100)/COUNTA(G7:U7)</f>
        <v>0</v>
      </c>
    </row>
    <row r="39" spans="1:26" ht="13.8" x14ac:dyDescent="0.25">
      <c r="A39" s="60">
        <v>32</v>
      </c>
      <c r="B39" s="80"/>
      <c r="C39" s="81"/>
      <c r="D39" s="92" t="str">
        <f t="shared" ca="1" si="1"/>
        <v/>
      </c>
      <c r="E39" s="93" t="str">
        <f t="shared" si="2"/>
        <v/>
      </c>
      <c r="F39" s="85"/>
      <c r="G39" s="21"/>
      <c r="H39" s="12"/>
      <c r="I39" s="13"/>
      <c r="J39" s="23"/>
      <c r="K39" s="26"/>
      <c r="L39" s="13"/>
      <c r="M39" s="13"/>
      <c r="N39" s="23"/>
      <c r="O39" s="26"/>
      <c r="P39" s="13"/>
      <c r="Q39" s="13"/>
      <c r="R39" s="13"/>
      <c r="S39" s="23"/>
      <c r="T39" s="32"/>
      <c r="U39" s="33"/>
      <c r="V39" s="6"/>
      <c r="W39" s="31">
        <f t="shared" si="3"/>
        <v>0</v>
      </c>
      <c r="X39" s="11">
        <f t="shared" si="0"/>
        <v>0</v>
      </c>
      <c r="Y39" s="43">
        <f>(X39*100)/COUNTA(G7:U7)</f>
        <v>0</v>
      </c>
      <c r="Z39" s="37">
        <f>(W39*100)/COUNTA(G7:U7)</f>
        <v>0</v>
      </c>
    </row>
    <row r="40" spans="1:26" ht="13.8" x14ac:dyDescent="0.25">
      <c r="A40" s="60">
        <v>33</v>
      </c>
      <c r="B40" s="80"/>
      <c r="C40" s="81"/>
      <c r="D40" s="92" t="str">
        <f t="shared" ca="1" si="1"/>
        <v/>
      </c>
      <c r="E40" s="93" t="str">
        <f t="shared" si="2"/>
        <v/>
      </c>
      <c r="F40" s="85"/>
      <c r="G40" s="21"/>
      <c r="H40" s="12"/>
      <c r="I40" s="13"/>
      <c r="J40" s="23"/>
      <c r="K40" s="26"/>
      <c r="L40" s="13"/>
      <c r="M40" s="13"/>
      <c r="N40" s="23"/>
      <c r="O40" s="26"/>
      <c r="P40" s="13"/>
      <c r="Q40" s="13"/>
      <c r="R40" s="13"/>
      <c r="S40" s="23"/>
      <c r="T40" s="32"/>
      <c r="U40" s="33"/>
      <c r="V40" s="6"/>
      <c r="W40" s="31">
        <f t="shared" si="3"/>
        <v>0</v>
      </c>
      <c r="X40" s="11">
        <f t="shared" si="0"/>
        <v>0</v>
      </c>
      <c r="Y40" s="43">
        <f>(X40*100)/COUNTA(G7:U7)</f>
        <v>0</v>
      </c>
      <c r="Z40" s="37">
        <f>(W40*100)/COUNTA(G7:U7)</f>
        <v>0</v>
      </c>
    </row>
    <row r="41" spans="1:26" ht="13.8" x14ac:dyDescent="0.25">
      <c r="A41" s="60">
        <v>34</v>
      </c>
      <c r="B41" s="80"/>
      <c r="C41" s="81"/>
      <c r="D41" s="92" t="str">
        <f t="shared" ca="1" si="1"/>
        <v/>
      </c>
      <c r="E41" s="93" t="str">
        <f t="shared" si="2"/>
        <v/>
      </c>
      <c r="F41" s="85"/>
      <c r="G41" s="21"/>
      <c r="H41" s="12"/>
      <c r="I41" s="13"/>
      <c r="J41" s="23"/>
      <c r="K41" s="26"/>
      <c r="L41" s="13"/>
      <c r="M41" s="13"/>
      <c r="N41" s="23"/>
      <c r="O41" s="26"/>
      <c r="P41" s="13"/>
      <c r="Q41" s="13"/>
      <c r="R41" s="13"/>
      <c r="S41" s="23"/>
      <c r="T41" s="32"/>
      <c r="U41" s="33"/>
      <c r="V41" s="6"/>
      <c r="W41" s="31">
        <f t="shared" si="3"/>
        <v>0</v>
      </c>
      <c r="X41" s="11">
        <f t="shared" si="0"/>
        <v>0</v>
      </c>
      <c r="Y41" s="43">
        <f>(X41*100)/COUNTA(G7:U7)</f>
        <v>0</v>
      </c>
      <c r="Z41" s="37">
        <f>(W41*100)/COUNTA(G7:U7)</f>
        <v>0</v>
      </c>
    </row>
    <row r="42" spans="1:26" ht="13.8" x14ac:dyDescent="0.25">
      <c r="A42" s="60">
        <v>35</v>
      </c>
      <c r="B42" s="80"/>
      <c r="C42" s="81"/>
      <c r="D42" s="92" t="str">
        <f t="shared" ca="1" si="1"/>
        <v/>
      </c>
      <c r="E42" s="93" t="str">
        <f t="shared" si="2"/>
        <v/>
      </c>
      <c r="F42" s="85"/>
      <c r="G42" s="21"/>
      <c r="H42" s="12"/>
      <c r="I42" s="13"/>
      <c r="J42" s="23"/>
      <c r="K42" s="26"/>
      <c r="L42" s="13"/>
      <c r="M42" s="13"/>
      <c r="N42" s="23"/>
      <c r="O42" s="26"/>
      <c r="P42" s="13"/>
      <c r="Q42" s="13"/>
      <c r="R42" s="13"/>
      <c r="S42" s="23"/>
      <c r="T42" s="32"/>
      <c r="U42" s="33"/>
      <c r="V42" s="6"/>
      <c r="W42" s="31">
        <f t="shared" si="3"/>
        <v>0</v>
      </c>
      <c r="X42" s="11">
        <f t="shared" si="0"/>
        <v>0</v>
      </c>
      <c r="Y42" s="43">
        <f>(X42*100)/COUNTA(G7:U7)</f>
        <v>0</v>
      </c>
      <c r="Z42" s="37">
        <f>(W42*100)/COUNTA(G7:U7)</f>
        <v>0</v>
      </c>
    </row>
    <row r="43" spans="1:26" ht="13.8" x14ac:dyDescent="0.25">
      <c r="A43" s="60">
        <v>36</v>
      </c>
      <c r="B43" s="80"/>
      <c r="C43" s="81"/>
      <c r="D43" s="92" t="str">
        <f t="shared" ca="1" si="1"/>
        <v/>
      </c>
      <c r="E43" s="93" t="str">
        <f t="shared" si="2"/>
        <v/>
      </c>
      <c r="F43" s="85"/>
      <c r="G43" s="21"/>
      <c r="H43" s="12"/>
      <c r="I43" s="13"/>
      <c r="J43" s="23"/>
      <c r="K43" s="26"/>
      <c r="L43" s="13"/>
      <c r="M43" s="13"/>
      <c r="N43" s="23"/>
      <c r="O43" s="26"/>
      <c r="P43" s="13"/>
      <c r="Q43" s="13"/>
      <c r="R43" s="13"/>
      <c r="S43" s="23"/>
      <c r="T43" s="32"/>
      <c r="U43" s="33"/>
      <c r="V43" s="6"/>
      <c r="W43" s="31">
        <f t="shared" si="3"/>
        <v>0</v>
      </c>
      <c r="X43" s="11">
        <f t="shared" si="0"/>
        <v>0</v>
      </c>
      <c r="Y43" s="43">
        <f>(X43*100)/COUNTA(G7:U7)</f>
        <v>0</v>
      </c>
      <c r="Z43" s="37">
        <f>(W43*100)/COUNTA(G7:U7)</f>
        <v>0</v>
      </c>
    </row>
    <row r="44" spans="1:26" ht="13.8" x14ac:dyDescent="0.25">
      <c r="A44" s="60">
        <v>37</v>
      </c>
      <c r="B44" s="80"/>
      <c r="C44" s="81"/>
      <c r="D44" s="92" t="str">
        <f t="shared" ca="1" si="1"/>
        <v/>
      </c>
      <c r="E44" s="93" t="str">
        <f t="shared" si="2"/>
        <v/>
      </c>
      <c r="F44" s="85"/>
      <c r="G44" s="21"/>
      <c r="H44" s="12"/>
      <c r="I44" s="13"/>
      <c r="J44" s="23"/>
      <c r="K44" s="26"/>
      <c r="L44" s="13"/>
      <c r="M44" s="13"/>
      <c r="N44" s="23"/>
      <c r="O44" s="26"/>
      <c r="P44" s="13"/>
      <c r="Q44" s="13"/>
      <c r="R44" s="13"/>
      <c r="S44" s="23"/>
      <c r="T44" s="32"/>
      <c r="U44" s="33"/>
      <c r="V44" s="6"/>
      <c r="W44" s="31">
        <f t="shared" si="3"/>
        <v>0</v>
      </c>
      <c r="X44" s="11">
        <f t="shared" si="0"/>
        <v>0</v>
      </c>
      <c r="Y44" s="43">
        <f>(X44*100)/COUNTA(G7:U7)</f>
        <v>0</v>
      </c>
      <c r="Z44" s="37">
        <f>(W44*100)/COUNTA(G7:U7)</f>
        <v>0</v>
      </c>
    </row>
    <row r="45" spans="1:26" ht="13.8" x14ac:dyDescent="0.25">
      <c r="A45" s="60">
        <v>38</v>
      </c>
      <c r="B45" s="80"/>
      <c r="C45" s="81"/>
      <c r="D45" s="92" t="str">
        <f t="shared" ca="1" si="1"/>
        <v/>
      </c>
      <c r="E45" s="93" t="str">
        <f t="shared" si="2"/>
        <v/>
      </c>
      <c r="F45" s="85"/>
      <c r="G45" s="21"/>
      <c r="H45" s="12"/>
      <c r="I45" s="13"/>
      <c r="J45" s="23"/>
      <c r="K45" s="26"/>
      <c r="L45" s="13"/>
      <c r="M45" s="13"/>
      <c r="N45" s="23"/>
      <c r="O45" s="26"/>
      <c r="P45" s="13"/>
      <c r="Q45" s="13"/>
      <c r="R45" s="13"/>
      <c r="S45" s="23"/>
      <c r="T45" s="32"/>
      <c r="U45" s="33"/>
      <c r="V45" s="6"/>
      <c r="W45" s="31">
        <f t="shared" si="3"/>
        <v>0</v>
      </c>
      <c r="X45" s="11">
        <f t="shared" si="0"/>
        <v>0</v>
      </c>
      <c r="Y45" s="43">
        <f>(X45*100)/COUNTA(G7:U7)</f>
        <v>0</v>
      </c>
      <c r="Z45" s="37">
        <f>(W45*100)/COUNTA(G7:U7)</f>
        <v>0</v>
      </c>
    </row>
    <row r="46" spans="1:26" ht="13.8" x14ac:dyDescent="0.25">
      <c r="A46" s="60">
        <v>39</v>
      </c>
      <c r="B46" s="80"/>
      <c r="C46" s="81"/>
      <c r="D46" s="92" t="str">
        <f t="shared" ca="1" si="1"/>
        <v/>
      </c>
      <c r="E46" s="93" t="str">
        <f t="shared" si="2"/>
        <v/>
      </c>
      <c r="F46" s="85"/>
      <c r="G46" s="21"/>
      <c r="H46" s="12"/>
      <c r="I46" s="13"/>
      <c r="J46" s="23"/>
      <c r="K46" s="26"/>
      <c r="L46" s="13"/>
      <c r="M46" s="13"/>
      <c r="N46" s="23"/>
      <c r="O46" s="26"/>
      <c r="P46" s="13"/>
      <c r="Q46" s="13"/>
      <c r="R46" s="13"/>
      <c r="S46" s="23"/>
      <c r="T46" s="32"/>
      <c r="U46" s="33"/>
      <c r="V46" s="6"/>
      <c r="W46" s="31">
        <f t="shared" si="3"/>
        <v>0</v>
      </c>
      <c r="X46" s="11">
        <f t="shared" si="0"/>
        <v>0</v>
      </c>
      <c r="Y46" s="43">
        <f>(X46*100)/COUNTA(G7:U7)</f>
        <v>0</v>
      </c>
      <c r="Z46" s="37">
        <f>(W46*100)/COUNTA(G7:U7)</f>
        <v>0</v>
      </c>
    </row>
    <row r="47" spans="1:26" ht="13.8" x14ac:dyDescent="0.25">
      <c r="A47" s="60">
        <v>40</v>
      </c>
      <c r="B47" s="80"/>
      <c r="C47" s="81"/>
      <c r="D47" s="92" t="str">
        <f t="shared" ca="1" si="1"/>
        <v/>
      </c>
      <c r="E47" s="93" t="str">
        <f t="shared" si="2"/>
        <v/>
      </c>
      <c r="F47" s="85"/>
      <c r="G47" s="21"/>
      <c r="H47" s="12"/>
      <c r="I47" s="13"/>
      <c r="J47" s="23"/>
      <c r="K47" s="26"/>
      <c r="L47" s="13"/>
      <c r="M47" s="13"/>
      <c r="N47" s="23"/>
      <c r="O47" s="26"/>
      <c r="P47" s="13"/>
      <c r="Q47" s="13"/>
      <c r="R47" s="13"/>
      <c r="S47" s="23"/>
      <c r="T47" s="32"/>
      <c r="U47" s="33"/>
      <c r="V47" s="6"/>
      <c r="W47" s="31">
        <f t="shared" si="3"/>
        <v>0</v>
      </c>
      <c r="X47" s="11">
        <f t="shared" si="0"/>
        <v>0</v>
      </c>
      <c r="Y47" s="43">
        <f>(X47*100)/COUNTA(G7:U7)</f>
        <v>0</v>
      </c>
      <c r="Z47" s="37">
        <f>(W47*100)/COUNTA(G7:U7)</f>
        <v>0</v>
      </c>
    </row>
    <row r="48" spans="1:26" ht="13.8" x14ac:dyDescent="0.25">
      <c r="A48" s="60">
        <v>41</v>
      </c>
      <c r="B48" s="80"/>
      <c r="C48" s="81"/>
      <c r="D48" s="92" t="str">
        <f t="shared" ca="1" si="1"/>
        <v/>
      </c>
      <c r="E48" s="93" t="str">
        <f t="shared" si="2"/>
        <v/>
      </c>
      <c r="F48" s="85"/>
      <c r="G48" s="21"/>
      <c r="H48" s="12"/>
      <c r="I48" s="13"/>
      <c r="J48" s="23"/>
      <c r="K48" s="26"/>
      <c r="L48" s="13"/>
      <c r="M48" s="13"/>
      <c r="N48" s="23"/>
      <c r="O48" s="26"/>
      <c r="P48" s="13"/>
      <c r="Q48" s="13"/>
      <c r="R48" s="13"/>
      <c r="S48" s="23"/>
      <c r="T48" s="32"/>
      <c r="U48" s="33"/>
      <c r="V48" s="6"/>
      <c r="W48" s="31">
        <f t="shared" si="3"/>
        <v>0</v>
      </c>
      <c r="X48" s="11">
        <f t="shared" si="0"/>
        <v>0</v>
      </c>
      <c r="Y48" s="43">
        <f>(X48*100)/COUNTA(G7:U7)</f>
        <v>0</v>
      </c>
      <c r="Z48" s="37">
        <f>(W48*100)/COUNTA(G7:U7)</f>
        <v>0</v>
      </c>
    </row>
    <row r="49" spans="1:26" ht="13.8" x14ac:dyDescent="0.25">
      <c r="A49" s="60">
        <v>42</v>
      </c>
      <c r="B49" s="80"/>
      <c r="C49" s="81"/>
      <c r="D49" s="92" t="str">
        <f t="shared" ca="1" si="1"/>
        <v/>
      </c>
      <c r="E49" s="93" t="str">
        <f t="shared" si="2"/>
        <v/>
      </c>
      <c r="F49" s="85"/>
      <c r="G49" s="21"/>
      <c r="H49" s="12"/>
      <c r="I49" s="13"/>
      <c r="J49" s="23"/>
      <c r="K49" s="26"/>
      <c r="L49" s="13"/>
      <c r="M49" s="13"/>
      <c r="N49" s="23"/>
      <c r="O49" s="26"/>
      <c r="P49" s="13"/>
      <c r="Q49" s="13"/>
      <c r="R49" s="13"/>
      <c r="S49" s="23"/>
      <c r="T49" s="32"/>
      <c r="U49" s="33"/>
      <c r="V49" s="6"/>
      <c r="W49" s="31">
        <f t="shared" si="3"/>
        <v>0</v>
      </c>
      <c r="X49" s="11">
        <f t="shared" si="0"/>
        <v>0</v>
      </c>
      <c r="Y49" s="43">
        <f>(X49*100)/COUNTA(G7:U7)</f>
        <v>0</v>
      </c>
      <c r="Z49" s="37">
        <f>(W49*100)/COUNTA(G7:U7)</f>
        <v>0</v>
      </c>
    </row>
    <row r="50" spans="1:26" ht="13.8" x14ac:dyDescent="0.25">
      <c r="A50" s="60">
        <v>43</v>
      </c>
      <c r="B50" s="80"/>
      <c r="C50" s="81"/>
      <c r="D50" s="92" t="str">
        <f t="shared" ca="1" si="1"/>
        <v/>
      </c>
      <c r="E50" s="93" t="str">
        <f t="shared" si="2"/>
        <v/>
      </c>
      <c r="F50" s="85"/>
      <c r="G50" s="21"/>
      <c r="H50" s="12"/>
      <c r="I50" s="13"/>
      <c r="J50" s="23"/>
      <c r="K50" s="26"/>
      <c r="L50" s="13"/>
      <c r="M50" s="13"/>
      <c r="N50" s="23"/>
      <c r="O50" s="26"/>
      <c r="P50" s="13"/>
      <c r="Q50" s="13"/>
      <c r="R50" s="13"/>
      <c r="S50" s="23"/>
      <c r="T50" s="32"/>
      <c r="U50" s="33"/>
      <c r="V50" s="6"/>
      <c r="W50" s="31">
        <f t="shared" si="3"/>
        <v>0</v>
      </c>
      <c r="X50" s="11">
        <f t="shared" si="0"/>
        <v>0</v>
      </c>
      <c r="Y50" s="43">
        <f>(X50*100)/COUNTA(G7:U7)</f>
        <v>0</v>
      </c>
      <c r="Z50" s="37">
        <f>(W50*100)/COUNTA(G7:U7)</f>
        <v>0</v>
      </c>
    </row>
    <row r="51" spans="1:26" ht="13.8" x14ac:dyDescent="0.25">
      <c r="A51" s="60">
        <v>44</v>
      </c>
      <c r="B51" s="80"/>
      <c r="C51" s="81"/>
      <c r="D51" s="92" t="str">
        <f t="shared" ca="1" si="1"/>
        <v/>
      </c>
      <c r="E51" s="93" t="str">
        <f t="shared" si="2"/>
        <v/>
      </c>
      <c r="F51" s="85"/>
      <c r="G51" s="21"/>
      <c r="H51" s="12"/>
      <c r="I51" s="13"/>
      <c r="J51" s="23"/>
      <c r="K51" s="26"/>
      <c r="L51" s="13"/>
      <c r="M51" s="13"/>
      <c r="N51" s="23"/>
      <c r="O51" s="26"/>
      <c r="P51" s="13"/>
      <c r="Q51" s="13"/>
      <c r="R51" s="13"/>
      <c r="S51" s="23"/>
      <c r="T51" s="32"/>
      <c r="U51" s="33"/>
      <c r="V51" s="6"/>
      <c r="W51" s="31">
        <f t="shared" si="3"/>
        <v>0</v>
      </c>
      <c r="X51" s="11">
        <f t="shared" si="0"/>
        <v>0</v>
      </c>
      <c r="Y51" s="43">
        <f>(X51*100)/COUNTA(G7:U7)</f>
        <v>0</v>
      </c>
      <c r="Z51" s="37">
        <f>(W51*100)/COUNTA(G7:U7)</f>
        <v>0</v>
      </c>
    </row>
    <row r="52" spans="1:26" ht="14.4" thickBot="1" x14ac:dyDescent="0.3">
      <c r="A52" s="60">
        <v>45</v>
      </c>
      <c r="B52" s="82"/>
      <c r="C52" s="83"/>
      <c r="D52" s="92" t="str">
        <f t="shared" ca="1" si="1"/>
        <v/>
      </c>
      <c r="E52" s="93" t="str">
        <f t="shared" si="2"/>
        <v/>
      </c>
      <c r="F52" s="86"/>
      <c r="G52" s="21"/>
      <c r="H52" s="12"/>
      <c r="I52" s="13"/>
      <c r="J52" s="23"/>
      <c r="K52" s="26"/>
      <c r="L52" s="13"/>
      <c r="M52" s="13"/>
      <c r="N52" s="23"/>
      <c r="O52" s="26"/>
      <c r="P52" s="13"/>
      <c r="Q52" s="13"/>
      <c r="R52" s="13"/>
      <c r="S52" s="23"/>
      <c r="T52" s="32"/>
      <c r="U52" s="33"/>
      <c r="V52" s="6"/>
      <c r="W52" s="31">
        <f t="shared" si="3"/>
        <v>0</v>
      </c>
      <c r="X52" s="11">
        <f t="shared" si="0"/>
        <v>0</v>
      </c>
      <c r="Y52" s="44">
        <f>(X52*100)/COUNTA(G7:U7)</f>
        <v>0</v>
      </c>
      <c r="Z52" s="37">
        <f>(W52*100)/COUNTA(G7:U7)</f>
        <v>0</v>
      </c>
    </row>
    <row r="53" spans="1:26" x14ac:dyDescent="0.25">
      <c r="A53" s="153" t="s">
        <v>41</v>
      </c>
      <c r="B53" s="154"/>
      <c r="C53" s="155" t="s">
        <v>27</v>
      </c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6"/>
      <c r="V53" s="6"/>
      <c r="W53" s="157" t="s">
        <v>1</v>
      </c>
      <c r="X53" s="158"/>
      <c r="Y53" s="87" t="s">
        <v>26</v>
      </c>
      <c r="Z53" s="61"/>
    </row>
    <row r="54" spans="1:26" x14ac:dyDescent="0.25">
      <c r="A54" s="9" t="s">
        <v>28</v>
      </c>
      <c r="B54" s="14"/>
      <c r="C54" s="149" t="s">
        <v>5</v>
      </c>
      <c r="D54" s="150"/>
      <c r="E54" s="150"/>
      <c r="F54" s="150"/>
      <c r="G54" s="69">
        <f t="shared" ref="G54:U54" si="4">COUNTA(G8:G52)</f>
        <v>0</v>
      </c>
      <c r="H54" s="70">
        <f t="shared" si="4"/>
        <v>0</v>
      </c>
      <c r="I54" s="70">
        <f t="shared" si="4"/>
        <v>0</v>
      </c>
      <c r="J54" s="71">
        <f t="shared" si="4"/>
        <v>0</v>
      </c>
      <c r="K54" s="69">
        <f t="shared" si="4"/>
        <v>0</v>
      </c>
      <c r="L54" s="70">
        <f t="shared" si="4"/>
        <v>0</v>
      </c>
      <c r="M54" s="70">
        <f t="shared" si="4"/>
        <v>0</v>
      </c>
      <c r="N54" s="71">
        <f t="shared" si="4"/>
        <v>0</v>
      </c>
      <c r="O54" s="69">
        <f t="shared" si="4"/>
        <v>0</v>
      </c>
      <c r="P54" s="70">
        <f t="shared" si="4"/>
        <v>0</v>
      </c>
      <c r="Q54" s="70">
        <f t="shared" si="4"/>
        <v>0</v>
      </c>
      <c r="R54" s="70">
        <f t="shared" si="4"/>
        <v>0</v>
      </c>
      <c r="S54" s="71">
        <f t="shared" si="4"/>
        <v>0</v>
      </c>
      <c r="T54" s="69">
        <f t="shared" si="4"/>
        <v>0</v>
      </c>
      <c r="U54" s="57">
        <f t="shared" si="4"/>
        <v>0</v>
      </c>
      <c r="V54" s="6"/>
      <c r="W54" s="151">
        <f>MAX(G54:U54)</f>
        <v>0</v>
      </c>
      <c r="X54" s="152"/>
      <c r="Y54" s="58">
        <f t="shared" ref="Y54:Y60" si="5">AVERAGE(G54:U54)</f>
        <v>0</v>
      </c>
      <c r="Z54" s="59"/>
    </row>
    <row r="55" spans="1:26" x14ac:dyDescent="0.25">
      <c r="A55" s="9" t="s">
        <v>29</v>
      </c>
      <c r="B55" s="62"/>
      <c r="C55" s="159" t="s">
        <v>6</v>
      </c>
      <c r="D55" s="159"/>
      <c r="E55" s="159"/>
      <c r="F55" s="160"/>
      <c r="G55" s="72">
        <f t="shared" ref="G55:U55" si="6">COUNTIF(G8:G52,0)</f>
        <v>0</v>
      </c>
      <c r="H55" s="73">
        <f t="shared" si="6"/>
        <v>0</v>
      </c>
      <c r="I55" s="73">
        <f t="shared" si="6"/>
        <v>0</v>
      </c>
      <c r="J55" s="57">
        <f t="shared" si="6"/>
        <v>0</v>
      </c>
      <c r="K55" s="72">
        <f t="shared" si="6"/>
        <v>0</v>
      </c>
      <c r="L55" s="73">
        <f t="shared" si="6"/>
        <v>0</v>
      </c>
      <c r="M55" s="73">
        <f t="shared" si="6"/>
        <v>0</v>
      </c>
      <c r="N55" s="57">
        <f t="shared" si="6"/>
        <v>0</v>
      </c>
      <c r="O55" s="72">
        <f t="shared" si="6"/>
        <v>0</v>
      </c>
      <c r="P55" s="73">
        <f t="shared" si="6"/>
        <v>0</v>
      </c>
      <c r="Q55" s="73">
        <f t="shared" si="6"/>
        <v>0</v>
      </c>
      <c r="R55" s="73">
        <f t="shared" si="6"/>
        <v>0</v>
      </c>
      <c r="S55" s="57">
        <f t="shared" si="6"/>
        <v>0</v>
      </c>
      <c r="T55" s="72">
        <f t="shared" si="6"/>
        <v>0</v>
      </c>
      <c r="U55" s="57">
        <f t="shared" si="6"/>
        <v>0</v>
      </c>
      <c r="V55" s="6"/>
      <c r="W55" s="151">
        <f>SUM(G55:U55)</f>
        <v>0</v>
      </c>
      <c r="X55" s="152"/>
      <c r="Y55" s="58">
        <f t="shared" si="5"/>
        <v>0</v>
      </c>
      <c r="Z55" s="59"/>
    </row>
    <row r="56" spans="1:26" x14ac:dyDescent="0.25">
      <c r="A56" s="9" t="s">
        <v>30</v>
      </c>
      <c r="B56" s="62"/>
      <c r="C56" s="160" t="s">
        <v>33</v>
      </c>
      <c r="D56" s="161"/>
      <c r="E56" s="161"/>
      <c r="F56" s="162"/>
      <c r="G56" s="72">
        <f t="shared" ref="G56:U56" si="7">COUNTIF(G8:G52,1)</f>
        <v>0</v>
      </c>
      <c r="H56" s="74">
        <f t="shared" si="7"/>
        <v>0</v>
      </c>
      <c r="I56" s="74">
        <f t="shared" si="7"/>
        <v>0</v>
      </c>
      <c r="J56" s="74">
        <f t="shared" si="7"/>
        <v>0</v>
      </c>
      <c r="K56" s="72">
        <f t="shared" si="7"/>
        <v>0</v>
      </c>
      <c r="L56" s="74">
        <f t="shared" si="7"/>
        <v>0</v>
      </c>
      <c r="M56" s="74">
        <f t="shared" si="7"/>
        <v>0</v>
      </c>
      <c r="N56" s="74">
        <f t="shared" si="7"/>
        <v>0</v>
      </c>
      <c r="O56" s="72">
        <f t="shared" si="7"/>
        <v>0</v>
      </c>
      <c r="P56" s="74">
        <f t="shared" si="7"/>
        <v>0</v>
      </c>
      <c r="Q56" s="74">
        <f t="shared" si="7"/>
        <v>0</v>
      </c>
      <c r="R56" s="74">
        <f t="shared" si="7"/>
        <v>0</v>
      </c>
      <c r="S56" s="74">
        <f t="shared" si="7"/>
        <v>0</v>
      </c>
      <c r="T56" s="72">
        <f t="shared" si="7"/>
        <v>0</v>
      </c>
      <c r="U56" s="57">
        <f t="shared" si="7"/>
        <v>0</v>
      </c>
      <c r="V56" s="6"/>
      <c r="W56" s="151">
        <f>SUM(G56:U56)</f>
        <v>0</v>
      </c>
      <c r="X56" s="152"/>
      <c r="Y56" s="58">
        <f t="shared" si="5"/>
        <v>0</v>
      </c>
      <c r="Z56" s="59"/>
    </row>
    <row r="57" spans="1:26" x14ac:dyDescent="0.25">
      <c r="A57" s="9" t="s">
        <v>31</v>
      </c>
      <c r="B57" s="78"/>
      <c r="C57" s="159" t="s">
        <v>34</v>
      </c>
      <c r="D57" s="159"/>
      <c r="E57" s="159"/>
      <c r="F57" s="160"/>
      <c r="G57" s="32">
        <v>0</v>
      </c>
      <c r="H57" s="75">
        <v>0</v>
      </c>
      <c r="I57" s="75">
        <v>0</v>
      </c>
      <c r="J57" s="33">
        <v>0</v>
      </c>
      <c r="K57" s="32">
        <v>0</v>
      </c>
      <c r="L57" s="75">
        <v>0</v>
      </c>
      <c r="M57" s="75">
        <v>0</v>
      </c>
      <c r="N57" s="33">
        <v>0</v>
      </c>
      <c r="O57" s="32">
        <v>0</v>
      </c>
      <c r="P57" s="75">
        <v>0</v>
      </c>
      <c r="Q57" s="75">
        <v>0</v>
      </c>
      <c r="R57" s="75">
        <v>0</v>
      </c>
      <c r="S57" s="33">
        <v>0</v>
      </c>
      <c r="T57" s="32">
        <v>0</v>
      </c>
      <c r="U57" s="33">
        <v>0</v>
      </c>
      <c r="V57" s="6"/>
      <c r="W57" s="151">
        <f t="shared" ref="W57:W62" si="8">SUM(G57:U57)</f>
        <v>0</v>
      </c>
      <c r="X57" s="152"/>
      <c r="Y57" s="58">
        <f t="shared" si="5"/>
        <v>0</v>
      </c>
      <c r="Z57" s="59"/>
    </row>
    <row r="58" spans="1:26" x14ac:dyDescent="0.25">
      <c r="A58" s="9" t="s">
        <v>32</v>
      </c>
      <c r="B58" s="62"/>
      <c r="C58" s="159" t="s">
        <v>10</v>
      </c>
      <c r="D58" s="159"/>
      <c r="E58" s="159"/>
      <c r="F58" s="160"/>
      <c r="G58" s="72">
        <f>SUM(G56:G57)</f>
        <v>0</v>
      </c>
      <c r="H58" s="74">
        <f t="shared" ref="H58:U58" si="9">SUM(H56:H57)</f>
        <v>0</v>
      </c>
      <c r="I58" s="74">
        <f t="shared" si="9"/>
        <v>0</v>
      </c>
      <c r="J58" s="74">
        <f t="shared" si="9"/>
        <v>0</v>
      </c>
      <c r="K58" s="72">
        <f t="shared" si="9"/>
        <v>0</v>
      </c>
      <c r="L58" s="74">
        <f t="shared" si="9"/>
        <v>0</v>
      </c>
      <c r="M58" s="74">
        <f t="shared" si="9"/>
        <v>0</v>
      </c>
      <c r="N58" s="74">
        <f t="shared" si="9"/>
        <v>0</v>
      </c>
      <c r="O58" s="72">
        <f t="shared" si="9"/>
        <v>0</v>
      </c>
      <c r="P58" s="74">
        <f t="shared" si="9"/>
        <v>0</v>
      </c>
      <c r="Q58" s="73">
        <f t="shared" si="9"/>
        <v>0</v>
      </c>
      <c r="R58" s="74">
        <f t="shared" si="9"/>
        <v>0</v>
      </c>
      <c r="S58" s="74">
        <f t="shared" si="9"/>
        <v>0</v>
      </c>
      <c r="T58" s="72">
        <f t="shared" si="9"/>
        <v>0</v>
      </c>
      <c r="U58" s="57">
        <f t="shared" si="9"/>
        <v>0</v>
      </c>
      <c r="V58" s="6"/>
      <c r="W58" s="151">
        <f t="shared" si="8"/>
        <v>0</v>
      </c>
      <c r="X58" s="152"/>
      <c r="Y58" s="58">
        <f t="shared" si="5"/>
        <v>0</v>
      </c>
      <c r="Z58" s="59"/>
    </row>
    <row r="59" spans="1:26" ht="12.75" customHeight="1" x14ac:dyDescent="0.25">
      <c r="A59" s="168" t="s">
        <v>42</v>
      </c>
      <c r="B59" s="171"/>
      <c r="C59" s="159" t="s">
        <v>37</v>
      </c>
      <c r="D59" s="159"/>
      <c r="E59" s="159"/>
      <c r="F59" s="160"/>
      <c r="G59" s="32">
        <v>0</v>
      </c>
      <c r="H59" s="75">
        <v>0</v>
      </c>
      <c r="I59" s="75">
        <v>0</v>
      </c>
      <c r="J59" s="33">
        <v>0</v>
      </c>
      <c r="K59" s="32">
        <v>0</v>
      </c>
      <c r="L59" s="75">
        <v>0</v>
      </c>
      <c r="M59" s="75">
        <v>0</v>
      </c>
      <c r="N59" s="33">
        <v>0</v>
      </c>
      <c r="O59" s="32">
        <v>0</v>
      </c>
      <c r="P59" s="75">
        <v>0</v>
      </c>
      <c r="Q59" s="75">
        <v>0</v>
      </c>
      <c r="R59" s="75">
        <v>0</v>
      </c>
      <c r="S59" s="33">
        <v>0</v>
      </c>
      <c r="T59" s="32">
        <v>0</v>
      </c>
      <c r="U59" s="33">
        <v>0</v>
      </c>
      <c r="V59" s="6"/>
      <c r="W59" s="151">
        <f t="shared" si="8"/>
        <v>0</v>
      </c>
      <c r="X59" s="152"/>
      <c r="Y59" s="58">
        <f t="shared" si="5"/>
        <v>0</v>
      </c>
      <c r="Z59" s="59"/>
    </row>
    <row r="60" spans="1:26" x14ac:dyDescent="0.25">
      <c r="A60" s="169"/>
      <c r="B60" s="172"/>
      <c r="C60" s="159" t="s">
        <v>38</v>
      </c>
      <c r="D60" s="159"/>
      <c r="E60" s="159"/>
      <c r="F60" s="160"/>
      <c r="G60" s="32">
        <v>0</v>
      </c>
      <c r="H60" s="75">
        <v>0</v>
      </c>
      <c r="I60" s="75">
        <v>0</v>
      </c>
      <c r="J60" s="33">
        <v>0</v>
      </c>
      <c r="K60" s="32">
        <v>0</v>
      </c>
      <c r="L60" s="75">
        <v>0</v>
      </c>
      <c r="M60" s="75">
        <v>0</v>
      </c>
      <c r="N60" s="33">
        <v>0</v>
      </c>
      <c r="O60" s="32">
        <v>0</v>
      </c>
      <c r="P60" s="75">
        <v>0</v>
      </c>
      <c r="Q60" s="75">
        <v>0</v>
      </c>
      <c r="R60" s="75">
        <v>0</v>
      </c>
      <c r="S60" s="33">
        <v>0</v>
      </c>
      <c r="T60" s="32">
        <v>0</v>
      </c>
      <c r="U60" s="33">
        <v>0</v>
      </c>
      <c r="V60" s="6"/>
      <c r="W60" s="151">
        <f t="shared" si="8"/>
        <v>0</v>
      </c>
      <c r="X60" s="152"/>
      <c r="Y60" s="58">
        <f t="shared" si="5"/>
        <v>0</v>
      </c>
      <c r="Z60" s="59"/>
    </row>
    <row r="61" spans="1:26" ht="57.75" customHeight="1" x14ac:dyDescent="0.25">
      <c r="A61" s="169"/>
      <c r="B61" s="172"/>
      <c r="C61" s="174" t="s">
        <v>39</v>
      </c>
      <c r="D61" s="174"/>
      <c r="E61" s="174"/>
      <c r="F61" s="175"/>
      <c r="G61" s="63"/>
      <c r="H61" s="64"/>
      <c r="I61" s="64"/>
      <c r="J61" s="65"/>
      <c r="K61" s="63"/>
      <c r="L61" s="64"/>
      <c r="M61" s="64"/>
      <c r="N61" s="65"/>
      <c r="O61" s="63"/>
      <c r="P61" s="64"/>
      <c r="Q61" s="64"/>
      <c r="R61" s="64"/>
      <c r="S61" s="65"/>
      <c r="T61" s="63"/>
      <c r="U61" s="65"/>
      <c r="V61" s="6"/>
      <c r="W61" s="176">
        <f t="shared" si="8"/>
        <v>0</v>
      </c>
      <c r="X61" s="177"/>
      <c r="Y61" s="177"/>
      <c r="Z61" s="178"/>
    </row>
    <row r="62" spans="1:26" ht="58.5" customHeight="1" thickBot="1" x14ac:dyDescent="0.3">
      <c r="A62" s="170"/>
      <c r="B62" s="173"/>
      <c r="C62" s="163" t="s">
        <v>40</v>
      </c>
      <c r="D62" s="163"/>
      <c r="E62" s="163"/>
      <c r="F62" s="164"/>
      <c r="G62" s="66"/>
      <c r="H62" s="67"/>
      <c r="I62" s="67"/>
      <c r="J62" s="68"/>
      <c r="K62" s="66"/>
      <c r="L62" s="67"/>
      <c r="M62" s="67"/>
      <c r="N62" s="68"/>
      <c r="O62" s="66"/>
      <c r="P62" s="67"/>
      <c r="Q62" s="67"/>
      <c r="R62" s="67"/>
      <c r="S62" s="68"/>
      <c r="T62" s="66"/>
      <c r="U62" s="68"/>
      <c r="V62" s="17"/>
      <c r="W62" s="165">
        <f t="shared" si="8"/>
        <v>0</v>
      </c>
      <c r="X62" s="166"/>
      <c r="Y62" s="166"/>
      <c r="Z62" s="167"/>
    </row>
    <row r="63" spans="1:26" x14ac:dyDescent="0.25">
      <c r="A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25">
      <c r="A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25">
      <c r="A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25">
      <c r="Z66"/>
    </row>
    <row r="67" spans="1:26" x14ac:dyDescent="0.25">
      <c r="Z67"/>
    </row>
    <row r="68" spans="1:26" x14ac:dyDescent="0.25">
      <c r="Z68"/>
    </row>
    <row r="69" spans="1:26" x14ac:dyDescent="0.25">
      <c r="Z69"/>
    </row>
    <row r="70" spans="1:26" x14ac:dyDescent="0.25">
      <c r="Z70"/>
    </row>
    <row r="71" spans="1:26" x14ac:dyDescent="0.25">
      <c r="Z71"/>
    </row>
    <row r="72" spans="1:26" x14ac:dyDescent="0.25">
      <c r="Z72"/>
    </row>
    <row r="73" spans="1:26" x14ac:dyDescent="0.25">
      <c r="Z73"/>
    </row>
    <row r="74" spans="1:26" x14ac:dyDescent="0.25">
      <c r="Z74"/>
    </row>
    <row r="75" spans="1:26" x14ac:dyDescent="0.25">
      <c r="Z75"/>
    </row>
    <row r="76" spans="1:26" x14ac:dyDescent="0.25">
      <c r="Z76"/>
    </row>
    <row r="77" spans="1:26" x14ac:dyDescent="0.25">
      <c r="Z77"/>
    </row>
    <row r="78" spans="1:26" x14ac:dyDescent="0.25">
      <c r="Z78"/>
    </row>
    <row r="79" spans="1:26" x14ac:dyDescent="0.25">
      <c r="Z79"/>
    </row>
    <row r="80" spans="1:26" x14ac:dyDescent="0.25">
      <c r="Z80"/>
    </row>
    <row r="81" spans="26:26" x14ac:dyDescent="0.25">
      <c r="Z81"/>
    </row>
    <row r="82" spans="26:26" x14ac:dyDescent="0.25">
      <c r="Z82"/>
    </row>
    <row r="83" spans="26:26" x14ac:dyDescent="0.25">
      <c r="Z83"/>
    </row>
    <row r="84" spans="26:26" x14ac:dyDescent="0.25">
      <c r="Z84"/>
    </row>
    <row r="85" spans="26:26" x14ac:dyDescent="0.25">
      <c r="Z85"/>
    </row>
    <row r="86" spans="26:26" x14ac:dyDescent="0.25">
      <c r="Z86"/>
    </row>
    <row r="87" spans="26:26" x14ac:dyDescent="0.25">
      <c r="Z87"/>
    </row>
    <row r="88" spans="26:26" x14ac:dyDescent="0.25">
      <c r="Z88"/>
    </row>
    <row r="89" spans="26:26" x14ac:dyDescent="0.25">
      <c r="Z89"/>
    </row>
    <row r="90" spans="26:26" x14ac:dyDescent="0.25">
      <c r="Z90"/>
    </row>
    <row r="91" spans="26:26" x14ac:dyDescent="0.25">
      <c r="Z91"/>
    </row>
    <row r="92" spans="26:26" x14ac:dyDescent="0.25">
      <c r="Z92"/>
    </row>
    <row r="93" spans="26:26" x14ac:dyDescent="0.25">
      <c r="Z93"/>
    </row>
    <row r="94" spans="26:26" x14ac:dyDescent="0.25">
      <c r="Z94"/>
    </row>
    <row r="95" spans="26:26" x14ac:dyDescent="0.25">
      <c r="Z95"/>
    </row>
    <row r="96" spans="26:26" x14ac:dyDescent="0.25">
      <c r="Z96"/>
    </row>
    <row r="97" spans="26:26" x14ac:dyDescent="0.25">
      <c r="Z97"/>
    </row>
    <row r="98" spans="26:26" x14ac:dyDescent="0.25">
      <c r="Z98"/>
    </row>
    <row r="99" spans="26:26" x14ac:dyDescent="0.25">
      <c r="Z99"/>
    </row>
    <row r="100" spans="26:26" x14ac:dyDescent="0.25">
      <c r="Z100"/>
    </row>
    <row r="101" spans="26:26" x14ac:dyDescent="0.25">
      <c r="Z101"/>
    </row>
    <row r="102" spans="26:26" x14ac:dyDescent="0.25">
      <c r="Z102"/>
    </row>
    <row r="103" spans="26:26" x14ac:dyDescent="0.25">
      <c r="Z103"/>
    </row>
    <row r="104" spans="26:26" x14ac:dyDescent="0.25">
      <c r="Z104"/>
    </row>
    <row r="105" spans="26:26" x14ac:dyDescent="0.25">
      <c r="Z105"/>
    </row>
    <row r="106" spans="26:26" x14ac:dyDescent="0.25">
      <c r="Z106"/>
    </row>
    <row r="107" spans="26:26" x14ac:dyDescent="0.25">
      <c r="Z107"/>
    </row>
    <row r="108" spans="26:26" x14ac:dyDescent="0.25">
      <c r="Z108"/>
    </row>
    <row r="109" spans="26:26" x14ac:dyDescent="0.25">
      <c r="Z109"/>
    </row>
    <row r="110" spans="26:26" x14ac:dyDescent="0.25">
      <c r="Z110"/>
    </row>
    <row r="111" spans="26:26" x14ac:dyDescent="0.25">
      <c r="Z111"/>
    </row>
    <row r="112" spans="26:26" x14ac:dyDescent="0.25">
      <c r="Z112"/>
    </row>
  </sheetData>
  <mergeCells count="37">
    <mergeCell ref="C62:F62"/>
    <mergeCell ref="W62:Z62"/>
    <mergeCell ref="C58:F58"/>
    <mergeCell ref="W58:X58"/>
    <mergeCell ref="A59:A62"/>
    <mergeCell ref="B59:B62"/>
    <mergeCell ref="C59:F59"/>
    <mergeCell ref="W59:X59"/>
    <mergeCell ref="C60:F60"/>
    <mergeCell ref="W60:X60"/>
    <mergeCell ref="C61:F61"/>
    <mergeCell ref="W61:Z61"/>
    <mergeCell ref="C55:F55"/>
    <mergeCell ref="W55:X55"/>
    <mergeCell ref="C56:F56"/>
    <mergeCell ref="W56:X56"/>
    <mergeCell ref="C57:F57"/>
    <mergeCell ref="W57:X57"/>
    <mergeCell ref="C54:F54"/>
    <mergeCell ref="W54:X54"/>
    <mergeCell ref="A53:B53"/>
    <mergeCell ref="C53:U53"/>
    <mergeCell ref="W53:X53"/>
    <mergeCell ref="B5:C7"/>
    <mergeCell ref="A5:A7"/>
    <mergeCell ref="W1:Y1"/>
    <mergeCell ref="O2:S2"/>
    <mergeCell ref="G1:U1"/>
    <mergeCell ref="A1:F1"/>
    <mergeCell ref="A2:C2"/>
    <mergeCell ref="G2:J2"/>
    <mergeCell ref="K2:N2"/>
    <mergeCell ref="A3:C3"/>
    <mergeCell ref="A4:C4"/>
    <mergeCell ref="G4:U4"/>
    <mergeCell ref="E2:E7"/>
    <mergeCell ref="D2:D7"/>
  </mergeCells>
  <conditionalFormatting sqref="Z8:Z52">
    <cfRule type="cellIs" dxfId="7" priority="7" stopIfTrue="1" operator="lessThan">
      <formula>50</formula>
    </cfRule>
    <cfRule type="cellIs" dxfId="6" priority="8" stopIfTrue="1" operator="greaterThanOrEqual">
      <formula>50</formula>
    </cfRule>
  </conditionalFormatting>
  <conditionalFormatting sqref="Y9:Y52">
    <cfRule type="cellIs" dxfId="5" priority="5" stopIfTrue="1" operator="lessThan">
      <formula>40</formula>
    </cfRule>
    <cfRule type="cellIs" dxfId="4" priority="6" stopIfTrue="1" operator="greaterThanOrEqual">
      <formula>40</formula>
    </cfRule>
  </conditionalFormatting>
  <conditionalFormatting sqref="Y8">
    <cfRule type="cellIs" dxfId="3" priority="3" stopIfTrue="1" operator="lessThan">
      <formula>40</formula>
    </cfRule>
    <cfRule type="cellIs" dxfId="2" priority="4" stopIfTrue="1" operator="greaterThanOrEqual">
      <formula>40</formula>
    </cfRule>
  </conditionalFormatting>
  <conditionalFormatting sqref="D8:D52">
    <cfRule type="cellIs" dxfId="1" priority="1" operator="equal">
      <formula>"H"</formula>
    </cfRule>
    <cfRule type="cellIs" dxfId="0" priority="2" operator="equal">
      <formula>"M"</formula>
    </cfRule>
  </conditionalFormatting>
  <printOptions horizontalCentered="1" verticalCentered="1"/>
  <pageMargins left="0" right="0" top="0.39370078740157483" bottom="0" header="0.51181102362204722" footer="0.39370078740157483"/>
  <pageSetup paperSize="9" scale="93" orientation="portrait" horizontalDpi="1200" verticalDpi="300" r:id="rId1"/>
  <headerFooter alignWithMargins="0"/>
  <rowBreaks count="1" manualBreakCount="1">
    <brk id="6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>
    <tabColor indexed="43"/>
    <pageSetUpPr fitToPage="1"/>
  </sheetPr>
  <dimension ref="A1:W50"/>
  <sheetViews>
    <sheetView tabSelected="1" view="pageBreakPreview" topLeftCell="A33" zoomScale="115" zoomScaleNormal="220" workbookViewId="0">
      <selection activeCell="B9" sqref="B9"/>
    </sheetView>
  </sheetViews>
  <sheetFormatPr defaultColWidth="9.109375" defaultRowHeight="13.2" x14ac:dyDescent="0.25"/>
  <cols>
    <col min="1" max="1" width="2.6640625" style="18" bestFit="1" customWidth="1"/>
    <col min="2" max="2" width="24.6640625" style="1" customWidth="1"/>
    <col min="3" max="3" width="6.44140625" style="1" customWidth="1"/>
    <col min="4" max="8" width="3" style="1" customWidth="1"/>
    <col min="9" max="11" width="3" style="1" bestFit="1" customWidth="1"/>
    <col min="12" max="13" width="3" style="1" customWidth="1"/>
    <col min="14" max="16" width="3" style="1" bestFit="1" customWidth="1"/>
    <col min="17" max="18" width="3" style="1" customWidth="1"/>
    <col min="19" max="21" width="3" style="1" bestFit="1" customWidth="1"/>
    <col min="22" max="22" width="3" style="1" customWidth="1"/>
    <col min="23" max="23" width="3" style="1" bestFit="1" customWidth="1"/>
  </cols>
  <sheetData>
    <row r="1" spans="1:23" s="2" customFormat="1" ht="14.4" thickTop="1" thickBot="1" x14ac:dyDescent="0.3">
      <c r="A1" s="201" t="s">
        <v>60</v>
      </c>
      <c r="B1" s="202"/>
      <c r="C1" s="202"/>
      <c r="D1" s="203" t="s">
        <v>55</v>
      </c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5"/>
    </row>
    <row r="2" spans="1:23" s="3" customFormat="1" ht="12.75" customHeight="1" thickTop="1" x14ac:dyDescent="0.2">
      <c r="A2" s="179" t="s">
        <v>64</v>
      </c>
      <c r="B2" s="180"/>
      <c r="C2" s="181"/>
      <c r="D2" s="206" t="s">
        <v>51</v>
      </c>
      <c r="E2" s="207"/>
      <c r="F2" s="207"/>
      <c r="G2" s="207"/>
      <c r="H2" s="207"/>
      <c r="I2" s="207" t="s">
        <v>52</v>
      </c>
      <c r="J2" s="207"/>
      <c r="K2" s="207"/>
      <c r="L2" s="207"/>
      <c r="M2" s="207"/>
      <c r="N2" s="210" t="s">
        <v>53</v>
      </c>
      <c r="O2" s="210"/>
      <c r="P2" s="210"/>
      <c r="Q2" s="210"/>
      <c r="R2" s="210"/>
      <c r="S2" s="210" t="s">
        <v>54</v>
      </c>
      <c r="T2" s="210"/>
      <c r="U2" s="210"/>
      <c r="V2" s="210"/>
      <c r="W2" s="212"/>
    </row>
    <row r="3" spans="1:23" ht="13.8" thickBot="1" x14ac:dyDescent="0.3">
      <c r="A3" s="179" t="s">
        <v>56</v>
      </c>
      <c r="B3" s="180"/>
      <c r="C3" s="181"/>
      <c r="D3" s="208"/>
      <c r="E3" s="209"/>
      <c r="F3" s="209"/>
      <c r="G3" s="209"/>
      <c r="H3" s="209"/>
      <c r="I3" s="209"/>
      <c r="J3" s="209"/>
      <c r="K3" s="209"/>
      <c r="L3" s="209"/>
      <c r="M3" s="209"/>
      <c r="N3" s="211"/>
      <c r="O3" s="211"/>
      <c r="P3" s="211"/>
      <c r="Q3" s="211"/>
      <c r="R3" s="211"/>
      <c r="S3" s="211"/>
      <c r="T3" s="211"/>
      <c r="U3" s="211"/>
      <c r="V3" s="211"/>
      <c r="W3" s="213"/>
    </row>
    <row r="4" spans="1:23" ht="14.4" thickTop="1" thickBot="1" x14ac:dyDescent="0.3">
      <c r="A4" s="179" t="s">
        <v>57</v>
      </c>
      <c r="B4" s="180"/>
      <c r="C4" s="181"/>
      <c r="D4" s="182" t="s">
        <v>59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4"/>
    </row>
    <row r="5" spans="1:23" ht="12.75" customHeight="1" thickTop="1" x14ac:dyDescent="0.25">
      <c r="A5" s="114" t="s">
        <v>4</v>
      </c>
      <c r="B5" s="97" t="s">
        <v>61</v>
      </c>
      <c r="C5" s="104"/>
      <c r="D5" s="105" t="s">
        <v>49</v>
      </c>
      <c r="E5" s="106" t="s">
        <v>48</v>
      </c>
      <c r="F5" s="106" t="s">
        <v>13</v>
      </c>
      <c r="G5" s="107" t="s">
        <v>50</v>
      </c>
      <c r="H5" s="108" t="s">
        <v>3</v>
      </c>
      <c r="I5" s="105" t="s">
        <v>49</v>
      </c>
      <c r="J5" s="106" t="s">
        <v>48</v>
      </c>
      <c r="K5" s="106" t="s">
        <v>13</v>
      </c>
      <c r="L5" s="107" t="s">
        <v>50</v>
      </c>
      <c r="M5" s="107" t="s">
        <v>3</v>
      </c>
      <c r="N5" s="105" t="s">
        <v>49</v>
      </c>
      <c r="O5" s="106" t="s">
        <v>48</v>
      </c>
      <c r="P5" s="106" t="s">
        <v>13</v>
      </c>
      <c r="Q5" s="106" t="s">
        <v>50</v>
      </c>
      <c r="R5" s="108" t="s">
        <v>3</v>
      </c>
      <c r="S5" s="105" t="s">
        <v>49</v>
      </c>
      <c r="T5" s="106" t="s">
        <v>48</v>
      </c>
      <c r="U5" s="106" t="s">
        <v>13</v>
      </c>
      <c r="V5" s="107" t="s">
        <v>50</v>
      </c>
      <c r="W5" s="108" t="s">
        <v>3</v>
      </c>
    </row>
    <row r="6" spans="1:23" ht="17.399999999999999" customHeight="1" x14ac:dyDescent="0.25">
      <c r="A6" s="115">
        <v>1</v>
      </c>
      <c r="B6" s="99"/>
      <c r="C6" s="100"/>
      <c r="D6" s="109"/>
      <c r="E6" s="12"/>
      <c r="F6" s="12"/>
      <c r="G6" s="95"/>
      <c r="H6" s="110"/>
      <c r="I6" s="109"/>
      <c r="J6" s="12"/>
      <c r="K6" s="12"/>
      <c r="L6" s="95"/>
      <c r="M6" s="95"/>
      <c r="N6" s="109"/>
      <c r="O6" s="12"/>
      <c r="P6" s="12"/>
      <c r="Q6" s="12"/>
      <c r="R6" s="110"/>
      <c r="S6" s="109"/>
      <c r="T6" s="12"/>
      <c r="U6" s="12"/>
      <c r="V6" s="12"/>
      <c r="W6" s="110"/>
    </row>
    <row r="7" spans="1:23" ht="17.399999999999999" customHeight="1" x14ac:dyDescent="0.25">
      <c r="A7" s="115">
        <v>2</v>
      </c>
      <c r="B7" s="99"/>
      <c r="C7" s="100"/>
      <c r="D7" s="109"/>
      <c r="E7" s="12"/>
      <c r="F7" s="12"/>
      <c r="G7" s="95"/>
      <c r="H7" s="110"/>
      <c r="I7" s="109"/>
      <c r="J7" s="12"/>
      <c r="K7" s="12"/>
      <c r="L7" s="95"/>
      <c r="M7" s="95"/>
      <c r="N7" s="109"/>
      <c r="O7" s="12"/>
      <c r="P7" s="12"/>
      <c r="Q7" s="12"/>
      <c r="R7" s="110"/>
      <c r="S7" s="109"/>
      <c r="T7" s="12"/>
      <c r="U7" s="12"/>
      <c r="V7" s="12"/>
      <c r="W7" s="110"/>
    </row>
    <row r="8" spans="1:23" ht="17.399999999999999" customHeight="1" x14ac:dyDescent="0.25">
      <c r="A8" s="115">
        <v>3</v>
      </c>
      <c r="B8" s="99"/>
      <c r="C8" s="100"/>
      <c r="D8" s="109"/>
      <c r="E8" s="98"/>
      <c r="F8" s="12"/>
      <c r="G8" s="95"/>
      <c r="H8" s="110"/>
      <c r="I8" s="109"/>
      <c r="J8" s="12"/>
      <c r="K8" s="12"/>
      <c r="L8" s="95"/>
      <c r="M8" s="95"/>
      <c r="N8" s="109"/>
      <c r="O8" s="12"/>
      <c r="P8" s="12"/>
      <c r="Q8" s="12"/>
      <c r="R8" s="110"/>
      <c r="S8" s="109"/>
      <c r="T8" s="12"/>
      <c r="U8" s="12"/>
      <c r="V8" s="12"/>
      <c r="W8" s="110"/>
    </row>
    <row r="9" spans="1:23" ht="17.399999999999999" customHeight="1" x14ac:dyDescent="0.25">
      <c r="A9" s="115">
        <v>4</v>
      </c>
      <c r="B9" s="99"/>
      <c r="C9" s="100"/>
      <c r="D9" s="109"/>
      <c r="E9" s="12"/>
      <c r="F9" s="12"/>
      <c r="G9" s="95"/>
      <c r="H9" s="110"/>
      <c r="I9" s="109"/>
      <c r="J9" s="12"/>
      <c r="K9" s="12"/>
      <c r="L9" s="95"/>
      <c r="M9" s="95"/>
      <c r="N9" s="109"/>
      <c r="O9" s="12"/>
      <c r="P9" s="12"/>
      <c r="Q9" s="12"/>
      <c r="R9" s="110"/>
      <c r="S9" s="109"/>
      <c r="T9" s="12"/>
      <c r="U9" s="12"/>
      <c r="V9" s="12"/>
      <c r="W9" s="110"/>
    </row>
    <row r="10" spans="1:23" ht="17.399999999999999" customHeight="1" x14ac:dyDescent="0.25">
      <c r="A10" s="115">
        <v>5</v>
      </c>
      <c r="B10" s="99"/>
      <c r="C10" s="100"/>
      <c r="D10" s="109"/>
      <c r="E10" s="12"/>
      <c r="F10" s="12"/>
      <c r="G10" s="95"/>
      <c r="H10" s="110"/>
      <c r="I10" s="109"/>
      <c r="J10" s="12"/>
      <c r="K10" s="12"/>
      <c r="L10" s="95"/>
      <c r="M10" s="95"/>
      <c r="N10" s="109"/>
      <c r="O10" s="12"/>
      <c r="P10" s="12"/>
      <c r="Q10" s="12"/>
      <c r="R10" s="110"/>
      <c r="S10" s="109"/>
      <c r="T10" s="12"/>
      <c r="U10" s="12"/>
      <c r="V10" s="12"/>
      <c r="W10" s="110"/>
    </row>
    <row r="11" spans="1:23" ht="17.399999999999999" customHeight="1" x14ac:dyDescent="0.25">
      <c r="A11" s="115">
        <v>6</v>
      </c>
      <c r="B11" s="99"/>
      <c r="C11" s="100"/>
      <c r="D11" s="109"/>
      <c r="E11" s="12"/>
      <c r="F11" s="12"/>
      <c r="G11" s="95"/>
      <c r="H11" s="110"/>
      <c r="I11" s="109"/>
      <c r="J11" s="12"/>
      <c r="K11" s="12"/>
      <c r="L11" s="95"/>
      <c r="M11" s="95"/>
      <c r="N11" s="109"/>
      <c r="O11" s="12"/>
      <c r="P11" s="12"/>
      <c r="Q11" s="12"/>
      <c r="R11" s="110"/>
      <c r="S11" s="109"/>
      <c r="T11" s="12"/>
      <c r="U11" s="12"/>
      <c r="V11" s="12"/>
      <c r="W11" s="110"/>
    </row>
    <row r="12" spans="1:23" ht="17.399999999999999" customHeight="1" x14ac:dyDescent="0.25">
      <c r="A12" s="115">
        <v>7</v>
      </c>
      <c r="B12" s="99"/>
      <c r="C12" s="100"/>
      <c r="D12" s="109"/>
      <c r="E12" s="12"/>
      <c r="F12" s="12"/>
      <c r="G12" s="95"/>
      <c r="H12" s="110"/>
      <c r="I12" s="109"/>
      <c r="J12" s="12"/>
      <c r="K12" s="12"/>
      <c r="L12" s="95"/>
      <c r="M12" s="95"/>
      <c r="N12" s="109"/>
      <c r="O12" s="12"/>
      <c r="P12" s="12"/>
      <c r="Q12" s="12"/>
      <c r="R12" s="110"/>
      <c r="S12" s="109"/>
      <c r="T12" s="12"/>
      <c r="U12" s="12"/>
      <c r="V12" s="12"/>
      <c r="W12" s="110"/>
    </row>
    <row r="13" spans="1:23" ht="17.399999999999999" customHeight="1" x14ac:dyDescent="0.25">
      <c r="A13" s="115">
        <v>8</v>
      </c>
      <c r="B13" s="99"/>
      <c r="C13" s="100"/>
      <c r="D13" s="109"/>
      <c r="E13" s="12"/>
      <c r="F13" s="12"/>
      <c r="G13" s="95"/>
      <c r="H13" s="110"/>
      <c r="I13" s="109"/>
      <c r="J13" s="12"/>
      <c r="K13" s="12"/>
      <c r="L13" s="95"/>
      <c r="M13" s="95"/>
      <c r="N13" s="109"/>
      <c r="O13" s="12"/>
      <c r="P13" s="12"/>
      <c r="Q13" s="12"/>
      <c r="R13" s="110"/>
      <c r="S13" s="109"/>
      <c r="T13" s="12"/>
      <c r="U13" s="12"/>
      <c r="V13" s="12"/>
      <c r="W13" s="110"/>
    </row>
    <row r="14" spans="1:23" ht="17.399999999999999" customHeight="1" x14ac:dyDescent="0.25">
      <c r="A14" s="115">
        <v>9</v>
      </c>
      <c r="B14" s="99"/>
      <c r="C14" s="100"/>
      <c r="D14" s="109"/>
      <c r="E14" s="12"/>
      <c r="F14" s="12"/>
      <c r="G14" s="95"/>
      <c r="H14" s="110"/>
      <c r="I14" s="109"/>
      <c r="J14" s="12"/>
      <c r="K14" s="12"/>
      <c r="L14" s="95"/>
      <c r="M14" s="95"/>
      <c r="N14" s="109"/>
      <c r="O14" s="12"/>
      <c r="P14" s="12"/>
      <c r="Q14" s="12"/>
      <c r="R14" s="110"/>
      <c r="S14" s="109"/>
      <c r="T14" s="12"/>
      <c r="U14" s="12"/>
      <c r="V14" s="12"/>
      <c r="W14" s="110"/>
    </row>
    <row r="15" spans="1:23" ht="17.399999999999999" customHeight="1" x14ac:dyDescent="0.25">
      <c r="A15" s="115">
        <v>10</v>
      </c>
      <c r="B15" s="99"/>
      <c r="C15" s="100"/>
      <c r="D15" s="109"/>
      <c r="E15" s="12"/>
      <c r="F15" s="12"/>
      <c r="G15" s="95"/>
      <c r="H15" s="110"/>
      <c r="I15" s="109"/>
      <c r="J15" s="12"/>
      <c r="K15" s="12"/>
      <c r="L15" s="95"/>
      <c r="M15" s="95"/>
      <c r="N15" s="109"/>
      <c r="O15" s="12"/>
      <c r="P15" s="12"/>
      <c r="Q15" s="12"/>
      <c r="R15" s="110"/>
      <c r="S15" s="109"/>
      <c r="T15" s="12"/>
      <c r="U15" s="12"/>
      <c r="V15" s="12"/>
      <c r="W15" s="110"/>
    </row>
    <row r="16" spans="1:23" ht="17.399999999999999" customHeight="1" x14ac:dyDescent="0.25">
      <c r="A16" s="115">
        <v>11</v>
      </c>
      <c r="B16" s="99"/>
      <c r="C16" s="100"/>
      <c r="D16" s="109"/>
      <c r="E16" s="12"/>
      <c r="F16" s="12"/>
      <c r="G16" s="95"/>
      <c r="H16" s="110"/>
      <c r="I16" s="109"/>
      <c r="J16" s="12"/>
      <c r="K16" s="12"/>
      <c r="L16" s="95"/>
      <c r="M16" s="95"/>
      <c r="N16" s="109"/>
      <c r="O16" s="12"/>
      <c r="P16" s="12"/>
      <c r="Q16" s="12"/>
      <c r="R16" s="110"/>
      <c r="S16" s="109"/>
      <c r="T16" s="12"/>
      <c r="U16" s="12"/>
      <c r="V16" s="12"/>
      <c r="W16" s="110"/>
    </row>
    <row r="17" spans="1:23" ht="17.399999999999999" customHeight="1" x14ac:dyDescent="0.25">
      <c r="A17" s="115">
        <v>12</v>
      </c>
      <c r="B17" s="99"/>
      <c r="C17" s="100"/>
      <c r="D17" s="109"/>
      <c r="E17" s="12"/>
      <c r="F17" s="12"/>
      <c r="G17" s="95"/>
      <c r="H17" s="110"/>
      <c r="I17" s="109"/>
      <c r="J17" s="12"/>
      <c r="K17" s="12"/>
      <c r="L17" s="95"/>
      <c r="M17" s="95"/>
      <c r="N17" s="109"/>
      <c r="O17" s="12"/>
      <c r="P17" s="12"/>
      <c r="Q17" s="12"/>
      <c r="R17" s="110"/>
      <c r="S17" s="109"/>
      <c r="T17" s="12"/>
      <c r="U17" s="12"/>
      <c r="V17" s="12"/>
      <c r="W17" s="110"/>
    </row>
    <row r="18" spans="1:23" ht="17.399999999999999" customHeight="1" x14ac:dyDescent="0.25">
      <c r="A18" s="115">
        <v>13</v>
      </c>
      <c r="B18" s="99"/>
      <c r="C18" s="100"/>
      <c r="D18" s="109"/>
      <c r="E18" s="12"/>
      <c r="F18" s="12"/>
      <c r="G18" s="95"/>
      <c r="H18" s="110"/>
      <c r="I18" s="109"/>
      <c r="J18" s="12"/>
      <c r="K18" s="12"/>
      <c r="L18" s="95"/>
      <c r="M18" s="95"/>
      <c r="N18" s="109"/>
      <c r="O18" s="12"/>
      <c r="P18" s="12"/>
      <c r="Q18" s="12"/>
      <c r="R18" s="110"/>
      <c r="S18" s="109"/>
      <c r="T18" s="12"/>
      <c r="U18" s="12"/>
      <c r="V18" s="12"/>
      <c r="W18" s="110"/>
    </row>
    <row r="19" spans="1:23" ht="17.399999999999999" customHeight="1" x14ac:dyDescent="0.25">
      <c r="A19" s="115">
        <v>14</v>
      </c>
      <c r="B19" s="99"/>
      <c r="C19" s="100"/>
      <c r="D19" s="109"/>
      <c r="E19" s="12"/>
      <c r="F19" s="12"/>
      <c r="G19" s="95"/>
      <c r="H19" s="110"/>
      <c r="I19" s="109"/>
      <c r="J19" s="12"/>
      <c r="K19" s="12"/>
      <c r="L19" s="95"/>
      <c r="M19" s="95"/>
      <c r="N19" s="109"/>
      <c r="O19" s="12"/>
      <c r="P19" s="12"/>
      <c r="Q19" s="12"/>
      <c r="R19" s="110"/>
      <c r="S19" s="109"/>
      <c r="T19" s="12"/>
      <c r="U19" s="12"/>
      <c r="V19" s="12"/>
      <c r="W19" s="110"/>
    </row>
    <row r="20" spans="1:23" ht="17.399999999999999" customHeight="1" x14ac:dyDescent="0.25">
      <c r="A20" s="115">
        <v>15</v>
      </c>
      <c r="B20" s="103"/>
      <c r="C20" s="100"/>
      <c r="D20" s="109"/>
      <c r="E20" s="12"/>
      <c r="F20" s="12"/>
      <c r="G20" s="95"/>
      <c r="H20" s="110"/>
      <c r="I20" s="109"/>
      <c r="J20" s="12"/>
      <c r="K20" s="12"/>
      <c r="L20" s="95"/>
      <c r="M20" s="95"/>
      <c r="N20" s="109"/>
      <c r="O20" s="12"/>
      <c r="P20" s="12"/>
      <c r="Q20" s="12"/>
      <c r="R20" s="110"/>
      <c r="S20" s="109"/>
      <c r="T20" s="12"/>
      <c r="U20" s="12"/>
      <c r="V20" s="12"/>
      <c r="W20" s="110"/>
    </row>
    <row r="21" spans="1:23" ht="17.399999999999999" customHeight="1" x14ac:dyDescent="0.25">
      <c r="A21" s="115">
        <v>16</v>
      </c>
      <c r="B21" s="99"/>
      <c r="C21" s="100"/>
      <c r="D21" s="109"/>
      <c r="E21" s="12"/>
      <c r="F21" s="12"/>
      <c r="G21" s="95"/>
      <c r="H21" s="110"/>
      <c r="I21" s="109"/>
      <c r="J21" s="12"/>
      <c r="K21" s="12"/>
      <c r="L21" s="95"/>
      <c r="M21" s="95"/>
      <c r="N21" s="109"/>
      <c r="O21" s="12"/>
      <c r="P21" s="12"/>
      <c r="Q21" s="12"/>
      <c r="R21" s="110"/>
      <c r="S21" s="109"/>
      <c r="T21" s="12"/>
      <c r="U21" s="12"/>
      <c r="V21" s="12"/>
      <c r="W21" s="110"/>
    </row>
    <row r="22" spans="1:23" ht="17.399999999999999" customHeight="1" x14ac:dyDescent="0.25">
      <c r="A22" s="115">
        <v>17</v>
      </c>
      <c r="B22" s="99"/>
      <c r="C22" s="100"/>
      <c r="D22" s="109"/>
      <c r="E22" s="12"/>
      <c r="F22" s="12"/>
      <c r="G22" s="95"/>
      <c r="H22" s="110"/>
      <c r="I22" s="109"/>
      <c r="J22" s="12"/>
      <c r="K22" s="12"/>
      <c r="L22" s="95"/>
      <c r="M22" s="95"/>
      <c r="N22" s="109"/>
      <c r="O22" s="12"/>
      <c r="P22" s="12"/>
      <c r="Q22" s="12"/>
      <c r="R22" s="110"/>
      <c r="S22" s="109"/>
      <c r="T22" s="12"/>
      <c r="U22" s="12"/>
      <c r="V22" s="12"/>
      <c r="W22" s="110"/>
    </row>
    <row r="23" spans="1:23" ht="17.399999999999999" customHeight="1" x14ac:dyDescent="0.25">
      <c r="A23" s="115">
        <v>18</v>
      </c>
      <c r="B23" s="99"/>
      <c r="C23" s="100"/>
      <c r="D23" s="109"/>
      <c r="E23" s="12"/>
      <c r="F23" s="12"/>
      <c r="G23" s="95"/>
      <c r="H23" s="110"/>
      <c r="I23" s="109"/>
      <c r="J23" s="12"/>
      <c r="K23" s="12"/>
      <c r="L23" s="95"/>
      <c r="M23" s="95"/>
      <c r="N23" s="109"/>
      <c r="O23" s="12"/>
      <c r="P23" s="12"/>
      <c r="Q23" s="12"/>
      <c r="R23" s="110"/>
      <c r="S23" s="109"/>
      <c r="T23" s="12"/>
      <c r="U23" s="12"/>
      <c r="V23" s="12"/>
      <c r="W23" s="110"/>
    </row>
    <row r="24" spans="1:23" ht="17.399999999999999" customHeight="1" x14ac:dyDescent="0.25">
      <c r="A24" s="115">
        <v>19</v>
      </c>
      <c r="B24" s="99"/>
      <c r="C24" s="100"/>
      <c r="D24" s="109"/>
      <c r="E24" s="12"/>
      <c r="F24" s="12"/>
      <c r="G24" s="95"/>
      <c r="H24" s="110"/>
      <c r="I24" s="109"/>
      <c r="J24" s="12"/>
      <c r="K24" s="12"/>
      <c r="L24" s="95"/>
      <c r="M24" s="95"/>
      <c r="N24" s="109"/>
      <c r="O24" s="12"/>
      <c r="P24" s="12"/>
      <c r="Q24" s="12"/>
      <c r="R24" s="110"/>
      <c r="S24" s="109"/>
      <c r="T24" s="12"/>
      <c r="U24" s="12"/>
      <c r="V24" s="12"/>
      <c r="W24" s="110"/>
    </row>
    <row r="25" spans="1:23" ht="17.399999999999999" customHeight="1" x14ac:dyDescent="0.25">
      <c r="A25" s="115">
        <v>20</v>
      </c>
      <c r="B25" s="99"/>
      <c r="C25" s="100"/>
      <c r="D25" s="109"/>
      <c r="E25" s="12"/>
      <c r="F25" s="12"/>
      <c r="G25" s="95"/>
      <c r="H25" s="110"/>
      <c r="I25" s="109"/>
      <c r="J25" s="12"/>
      <c r="K25" s="12"/>
      <c r="L25" s="95"/>
      <c r="M25" s="95"/>
      <c r="N25" s="109"/>
      <c r="O25" s="12"/>
      <c r="P25" s="12"/>
      <c r="Q25" s="12"/>
      <c r="R25" s="110"/>
      <c r="S25" s="109"/>
      <c r="T25" s="12"/>
      <c r="U25" s="12"/>
      <c r="V25" s="12"/>
      <c r="W25" s="110"/>
    </row>
    <row r="26" spans="1:23" ht="17.399999999999999" customHeight="1" x14ac:dyDescent="0.25">
      <c r="A26" s="115">
        <v>21</v>
      </c>
      <c r="B26" s="99"/>
      <c r="C26" s="100"/>
      <c r="D26" s="109"/>
      <c r="E26" s="12"/>
      <c r="F26" s="12"/>
      <c r="G26" s="95"/>
      <c r="H26" s="110"/>
      <c r="I26" s="109"/>
      <c r="J26" s="12"/>
      <c r="K26" s="12"/>
      <c r="L26" s="95"/>
      <c r="M26" s="95"/>
      <c r="N26" s="109"/>
      <c r="O26" s="12"/>
      <c r="P26" s="12"/>
      <c r="Q26" s="12"/>
      <c r="R26" s="110"/>
      <c r="S26" s="109"/>
      <c r="T26" s="12"/>
      <c r="U26" s="12"/>
      <c r="V26" s="12"/>
      <c r="W26" s="110"/>
    </row>
    <row r="27" spans="1:23" ht="17.399999999999999" customHeight="1" x14ac:dyDescent="0.25">
      <c r="A27" s="115">
        <v>22</v>
      </c>
      <c r="B27" s="99"/>
      <c r="C27" s="101"/>
      <c r="D27" s="109"/>
      <c r="E27" s="12"/>
      <c r="F27" s="13"/>
      <c r="G27" s="96"/>
      <c r="H27" s="111"/>
      <c r="I27" s="113"/>
      <c r="J27" s="13"/>
      <c r="K27" s="13"/>
      <c r="L27" s="96"/>
      <c r="M27" s="96"/>
      <c r="N27" s="109"/>
      <c r="O27" s="12"/>
      <c r="P27" s="12"/>
      <c r="Q27" s="12"/>
      <c r="R27" s="110"/>
      <c r="S27" s="113"/>
      <c r="T27" s="13"/>
      <c r="U27" s="13"/>
      <c r="V27" s="13"/>
      <c r="W27" s="111"/>
    </row>
    <row r="28" spans="1:23" ht="17.399999999999999" customHeight="1" x14ac:dyDescent="0.25">
      <c r="A28" s="115">
        <v>23</v>
      </c>
      <c r="B28" s="99"/>
      <c r="C28" s="101"/>
      <c r="D28" s="109"/>
      <c r="E28" s="12"/>
      <c r="F28" s="13"/>
      <c r="G28" s="96"/>
      <c r="H28" s="111"/>
      <c r="I28" s="113"/>
      <c r="J28" s="13"/>
      <c r="K28" s="13"/>
      <c r="L28" s="96"/>
      <c r="M28" s="96"/>
      <c r="N28" s="109"/>
      <c r="O28" s="12"/>
      <c r="P28" s="12"/>
      <c r="Q28" s="12"/>
      <c r="R28" s="110"/>
      <c r="S28" s="113"/>
      <c r="T28" s="13"/>
      <c r="U28" s="13"/>
      <c r="V28" s="13"/>
      <c r="W28" s="111"/>
    </row>
    <row r="29" spans="1:23" ht="17.399999999999999" customHeight="1" x14ac:dyDescent="0.25">
      <c r="A29" s="115">
        <v>24</v>
      </c>
      <c r="B29" s="99"/>
      <c r="C29" s="101"/>
      <c r="D29" s="109"/>
      <c r="E29" s="12"/>
      <c r="F29" s="13"/>
      <c r="G29" s="96"/>
      <c r="H29" s="111"/>
      <c r="I29" s="113"/>
      <c r="J29" s="13"/>
      <c r="K29" s="13"/>
      <c r="L29" s="96"/>
      <c r="M29" s="96"/>
      <c r="N29" s="109"/>
      <c r="O29" s="12"/>
      <c r="P29" s="12"/>
      <c r="Q29" s="12"/>
      <c r="R29" s="110"/>
      <c r="S29" s="113"/>
      <c r="T29" s="13"/>
      <c r="U29" s="13"/>
      <c r="V29" s="13"/>
      <c r="W29" s="111"/>
    </row>
    <row r="30" spans="1:23" ht="17.399999999999999" customHeight="1" x14ac:dyDescent="0.25">
      <c r="A30" s="115">
        <v>25</v>
      </c>
      <c r="B30" s="99"/>
      <c r="C30" s="101"/>
      <c r="D30" s="109"/>
      <c r="E30" s="12"/>
      <c r="F30" s="13"/>
      <c r="G30" s="96"/>
      <c r="H30" s="111"/>
      <c r="I30" s="113"/>
      <c r="J30" s="13"/>
      <c r="K30" s="13"/>
      <c r="L30" s="96"/>
      <c r="M30" s="96"/>
      <c r="N30" s="109"/>
      <c r="O30" s="12"/>
      <c r="P30" s="12"/>
      <c r="Q30" s="12"/>
      <c r="R30" s="110"/>
      <c r="S30" s="113"/>
      <c r="T30" s="13"/>
      <c r="U30" s="13"/>
      <c r="V30" s="13"/>
      <c r="W30" s="111"/>
    </row>
    <row r="31" spans="1:23" ht="17.399999999999999" customHeight="1" x14ac:dyDescent="0.25">
      <c r="A31" s="115">
        <v>26</v>
      </c>
      <c r="B31" s="99"/>
      <c r="C31" s="101"/>
      <c r="D31" s="109"/>
      <c r="E31" s="12"/>
      <c r="F31" s="13"/>
      <c r="G31" s="96"/>
      <c r="H31" s="111"/>
      <c r="I31" s="113"/>
      <c r="J31" s="13"/>
      <c r="K31" s="13"/>
      <c r="L31" s="96"/>
      <c r="M31" s="96"/>
      <c r="N31" s="109"/>
      <c r="O31" s="12"/>
      <c r="P31" s="12"/>
      <c r="Q31" s="12"/>
      <c r="R31" s="110"/>
      <c r="S31" s="113"/>
      <c r="T31" s="13"/>
      <c r="U31" s="13"/>
      <c r="V31" s="13"/>
      <c r="W31" s="111"/>
    </row>
    <row r="32" spans="1:23" ht="17.399999999999999" customHeight="1" x14ac:dyDescent="0.25">
      <c r="A32" s="115">
        <v>27</v>
      </c>
      <c r="B32" s="99"/>
      <c r="C32" s="101"/>
      <c r="D32" s="109"/>
      <c r="E32" s="12"/>
      <c r="F32" s="13"/>
      <c r="G32" s="96"/>
      <c r="H32" s="111"/>
      <c r="I32" s="113"/>
      <c r="J32" s="13"/>
      <c r="K32" s="13"/>
      <c r="L32" s="96"/>
      <c r="M32" s="96"/>
      <c r="N32" s="109"/>
      <c r="O32" s="12"/>
      <c r="P32" s="12"/>
      <c r="Q32" s="12"/>
      <c r="R32" s="110"/>
      <c r="S32" s="113"/>
      <c r="T32" s="13"/>
      <c r="U32" s="13"/>
      <c r="V32" s="13"/>
      <c r="W32" s="111"/>
    </row>
    <row r="33" spans="1:23" ht="17.399999999999999" customHeight="1" x14ac:dyDescent="0.25">
      <c r="A33" s="115">
        <v>28</v>
      </c>
      <c r="B33" s="99"/>
      <c r="C33" s="101"/>
      <c r="D33" s="109"/>
      <c r="E33" s="12"/>
      <c r="F33" s="13"/>
      <c r="G33" s="96"/>
      <c r="H33" s="111"/>
      <c r="I33" s="113"/>
      <c r="J33" s="13"/>
      <c r="K33" s="13"/>
      <c r="L33" s="96"/>
      <c r="M33" s="96"/>
      <c r="N33" s="109"/>
      <c r="O33" s="12"/>
      <c r="P33" s="12"/>
      <c r="Q33" s="12"/>
      <c r="R33" s="110"/>
      <c r="S33" s="113"/>
      <c r="T33" s="13"/>
      <c r="U33" s="13"/>
      <c r="V33" s="13"/>
      <c r="W33" s="111"/>
    </row>
    <row r="34" spans="1:23" ht="17.399999999999999" customHeight="1" x14ac:dyDescent="0.25">
      <c r="A34" s="115">
        <v>29</v>
      </c>
      <c r="B34" s="99"/>
      <c r="C34" s="101"/>
      <c r="D34" s="109"/>
      <c r="E34" s="12"/>
      <c r="F34" s="13"/>
      <c r="G34" s="96"/>
      <c r="H34" s="111"/>
      <c r="I34" s="113"/>
      <c r="J34" s="13"/>
      <c r="K34" s="13"/>
      <c r="L34" s="96"/>
      <c r="M34" s="96"/>
      <c r="N34" s="109"/>
      <c r="O34" s="12"/>
      <c r="P34" s="12"/>
      <c r="Q34" s="12"/>
      <c r="R34" s="110"/>
      <c r="S34" s="113"/>
      <c r="T34" s="13"/>
      <c r="U34" s="13"/>
      <c r="V34" s="13"/>
      <c r="W34" s="111"/>
    </row>
    <row r="35" spans="1:23" ht="17.399999999999999" customHeight="1" x14ac:dyDescent="0.25">
      <c r="A35" s="115">
        <v>30</v>
      </c>
      <c r="B35" s="99"/>
      <c r="C35" s="101"/>
      <c r="D35" s="109"/>
      <c r="E35" s="12"/>
      <c r="F35" s="13"/>
      <c r="G35" s="96"/>
      <c r="H35" s="111"/>
      <c r="I35" s="113"/>
      <c r="J35" s="13"/>
      <c r="K35" s="13"/>
      <c r="L35" s="96"/>
      <c r="M35" s="96"/>
      <c r="N35" s="109"/>
      <c r="O35" s="12"/>
      <c r="P35" s="12"/>
      <c r="Q35" s="12"/>
      <c r="R35" s="110"/>
      <c r="S35" s="113"/>
      <c r="T35" s="13"/>
      <c r="U35" s="13"/>
      <c r="V35" s="13"/>
      <c r="W35" s="111"/>
    </row>
    <row r="36" spans="1:23" ht="17.399999999999999" customHeight="1" x14ac:dyDescent="0.25">
      <c r="A36" s="115">
        <v>31</v>
      </c>
      <c r="B36" s="99"/>
      <c r="C36" s="101"/>
      <c r="D36" s="109"/>
      <c r="E36" s="12"/>
      <c r="F36" s="13"/>
      <c r="G36" s="96"/>
      <c r="H36" s="111"/>
      <c r="I36" s="113"/>
      <c r="J36" s="13"/>
      <c r="K36" s="13"/>
      <c r="L36" s="96"/>
      <c r="M36" s="96"/>
      <c r="N36" s="109"/>
      <c r="O36" s="12"/>
      <c r="P36" s="12"/>
      <c r="Q36" s="12"/>
      <c r="R36" s="110"/>
      <c r="S36" s="113"/>
      <c r="T36" s="13"/>
      <c r="U36" s="13"/>
      <c r="V36" s="13"/>
      <c r="W36" s="111"/>
    </row>
    <row r="37" spans="1:23" ht="17.399999999999999" customHeight="1" x14ac:dyDescent="0.25">
      <c r="A37" s="115">
        <v>32</v>
      </c>
      <c r="B37" s="99"/>
      <c r="C37" s="101"/>
      <c r="D37" s="109"/>
      <c r="E37" s="12"/>
      <c r="F37" s="13"/>
      <c r="G37" s="96"/>
      <c r="H37" s="111"/>
      <c r="I37" s="113"/>
      <c r="J37" s="13"/>
      <c r="K37" s="13"/>
      <c r="L37" s="96"/>
      <c r="M37" s="96"/>
      <c r="N37" s="109"/>
      <c r="O37" s="12"/>
      <c r="P37" s="12"/>
      <c r="Q37" s="12"/>
      <c r="R37" s="110"/>
      <c r="S37" s="113"/>
      <c r="T37" s="13"/>
      <c r="U37" s="13"/>
      <c r="V37" s="13"/>
      <c r="W37" s="111"/>
    </row>
    <row r="38" spans="1:23" ht="17.399999999999999" customHeight="1" x14ac:dyDescent="0.25">
      <c r="A38" s="115">
        <v>33</v>
      </c>
      <c r="B38" s="99"/>
      <c r="C38" s="102"/>
      <c r="D38" s="112"/>
      <c r="E38" s="12"/>
      <c r="F38" s="13"/>
      <c r="G38" s="96"/>
      <c r="H38" s="111"/>
      <c r="I38" s="113"/>
      <c r="J38" s="13"/>
      <c r="K38" s="13"/>
      <c r="L38" s="96"/>
      <c r="M38" s="96"/>
      <c r="N38" s="109"/>
      <c r="O38" s="12"/>
      <c r="P38" s="12"/>
      <c r="Q38" s="12"/>
      <c r="R38" s="110"/>
      <c r="S38" s="113"/>
      <c r="T38" s="13"/>
      <c r="U38" s="13"/>
      <c r="V38" s="13"/>
      <c r="W38" s="111"/>
    </row>
    <row r="39" spans="1:23" ht="17.399999999999999" customHeight="1" x14ac:dyDescent="0.25">
      <c r="A39" s="115">
        <v>34</v>
      </c>
      <c r="B39" s="99"/>
      <c r="C39" s="102"/>
      <c r="D39" s="112"/>
      <c r="E39" s="12"/>
      <c r="F39" s="13"/>
      <c r="G39" s="96"/>
      <c r="H39" s="111"/>
      <c r="I39" s="113"/>
      <c r="J39" s="13"/>
      <c r="K39" s="13"/>
      <c r="L39" s="96"/>
      <c r="M39" s="96"/>
      <c r="N39" s="109"/>
      <c r="O39" s="12"/>
      <c r="P39" s="12"/>
      <c r="Q39" s="12"/>
      <c r="R39" s="110"/>
      <c r="S39" s="113"/>
      <c r="T39" s="13"/>
      <c r="U39" s="13"/>
      <c r="V39" s="13"/>
      <c r="W39" s="111"/>
    </row>
    <row r="40" spans="1:23" ht="17.399999999999999" customHeight="1" x14ac:dyDescent="0.25">
      <c r="A40" s="115">
        <v>35</v>
      </c>
      <c r="B40" s="99"/>
      <c r="C40" s="116"/>
      <c r="D40" s="109"/>
      <c r="E40" s="12"/>
      <c r="F40" s="13"/>
      <c r="G40" s="96"/>
      <c r="H40" s="111"/>
      <c r="I40" s="113"/>
      <c r="J40" s="13"/>
      <c r="K40" s="13"/>
      <c r="L40" s="96"/>
      <c r="M40" s="96"/>
      <c r="N40" s="109"/>
      <c r="O40" s="12"/>
      <c r="P40" s="12"/>
      <c r="Q40" s="12"/>
      <c r="R40" s="110"/>
      <c r="S40" s="113"/>
      <c r="T40" s="13"/>
      <c r="U40" s="13"/>
      <c r="V40" s="13"/>
      <c r="W40" s="111"/>
    </row>
    <row r="41" spans="1:23" ht="17.399999999999999" customHeight="1" x14ac:dyDescent="0.25">
      <c r="A41" s="115">
        <v>36</v>
      </c>
      <c r="B41" s="99"/>
      <c r="C41" s="101"/>
      <c r="D41" s="109"/>
      <c r="E41" s="12"/>
      <c r="F41" s="13"/>
      <c r="G41" s="96"/>
      <c r="H41" s="111"/>
      <c r="I41" s="113"/>
      <c r="J41" s="13"/>
      <c r="K41" s="13"/>
      <c r="L41" s="96"/>
      <c r="M41" s="96"/>
      <c r="N41" s="109"/>
      <c r="O41" s="12"/>
      <c r="P41" s="12"/>
      <c r="Q41" s="12"/>
      <c r="R41" s="110"/>
      <c r="S41" s="113"/>
      <c r="T41" s="13"/>
      <c r="U41" s="13"/>
      <c r="V41" s="13"/>
      <c r="W41" s="111"/>
    </row>
    <row r="42" spans="1:23" ht="17.399999999999999" customHeight="1" x14ac:dyDescent="0.25">
      <c r="A42" s="115">
        <v>37</v>
      </c>
      <c r="B42" s="99"/>
      <c r="C42" s="116"/>
      <c r="D42" s="109"/>
      <c r="E42" s="12"/>
      <c r="F42" s="13"/>
      <c r="G42" s="96"/>
      <c r="H42" s="111"/>
      <c r="I42" s="113"/>
      <c r="J42" s="13"/>
      <c r="K42" s="13"/>
      <c r="L42" s="96"/>
      <c r="M42" s="96"/>
      <c r="N42" s="109"/>
      <c r="O42" s="12"/>
      <c r="P42" s="12"/>
      <c r="Q42" s="12"/>
      <c r="R42" s="110"/>
      <c r="S42" s="113"/>
      <c r="T42" s="13"/>
      <c r="U42" s="13"/>
      <c r="V42" s="13"/>
      <c r="W42" s="111"/>
    </row>
    <row r="43" spans="1:23" ht="17.399999999999999" customHeight="1" x14ac:dyDescent="0.25">
      <c r="A43" s="115">
        <v>38</v>
      </c>
      <c r="B43" s="99"/>
      <c r="C43" s="101"/>
      <c r="D43" s="109"/>
      <c r="E43" s="12"/>
      <c r="F43" s="13"/>
      <c r="G43" s="96"/>
      <c r="H43" s="111"/>
      <c r="I43" s="113"/>
      <c r="J43" s="13"/>
      <c r="K43" s="13"/>
      <c r="L43" s="96"/>
      <c r="M43" s="96"/>
      <c r="N43" s="109"/>
      <c r="O43" s="12"/>
      <c r="P43" s="12"/>
      <c r="Q43" s="12"/>
      <c r="R43" s="110"/>
      <c r="S43" s="113"/>
      <c r="T43" s="13"/>
      <c r="U43" s="13"/>
      <c r="V43" s="13"/>
      <c r="W43" s="111"/>
    </row>
    <row r="44" spans="1:23" ht="17.399999999999999" customHeight="1" x14ac:dyDescent="0.25">
      <c r="A44" s="115">
        <v>39</v>
      </c>
      <c r="B44" s="99"/>
      <c r="C44" s="101"/>
      <c r="D44" s="109"/>
      <c r="E44" s="12"/>
      <c r="F44" s="13"/>
      <c r="G44" s="96"/>
      <c r="H44" s="111"/>
      <c r="I44" s="113"/>
      <c r="J44" s="13"/>
      <c r="K44" s="13"/>
      <c r="L44" s="96"/>
      <c r="M44" s="96"/>
      <c r="N44" s="109"/>
      <c r="O44" s="12"/>
      <c r="P44" s="12"/>
      <c r="Q44" s="12"/>
      <c r="R44" s="110"/>
      <c r="S44" s="113"/>
      <c r="T44" s="13"/>
      <c r="U44" s="13"/>
      <c r="V44" s="13"/>
      <c r="W44" s="111"/>
    </row>
    <row r="45" spans="1:23" ht="17.399999999999999" customHeight="1" x14ac:dyDescent="0.25">
      <c r="A45" s="115">
        <v>40</v>
      </c>
      <c r="B45" s="99"/>
      <c r="C45" s="101"/>
      <c r="D45" s="109"/>
      <c r="E45" s="12"/>
      <c r="F45" s="13"/>
      <c r="G45" s="96"/>
      <c r="H45" s="111"/>
      <c r="I45" s="113"/>
      <c r="J45" s="13"/>
      <c r="K45" s="13"/>
      <c r="L45" s="96"/>
      <c r="M45" s="96"/>
      <c r="N45" s="109"/>
      <c r="O45" s="12"/>
      <c r="P45" s="12"/>
      <c r="Q45" s="12"/>
      <c r="R45" s="110"/>
      <c r="S45" s="113"/>
      <c r="T45" s="13"/>
      <c r="U45" s="13"/>
      <c r="V45" s="13"/>
      <c r="W45" s="111"/>
    </row>
    <row r="46" spans="1:23" ht="37.799999999999997" customHeight="1" x14ac:dyDescent="0.25">
      <c r="A46" s="185"/>
      <c r="B46" s="187" t="s">
        <v>58</v>
      </c>
      <c r="C46" s="117" t="s">
        <v>62</v>
      </c>
      <c r="D46" s="189"/>
      <c r="E46" s="190"/>
      <c r="F46" s="190"/>
      <c r="G46" s="190"/>
      <c r="H46" s="191"/>
      <c r="I46" s="189"/>
      <c r="J46" s="190"/>
      <c r="K46" s="190"/>
      <c r="L46" s="190"/>
      <c r="M46" s="190"/>
      <c r="N46" s="189"/>
      <c r="O46" s="190"/>
      <c r="P46" s="190"/>
      <c r="Q46" s="190"/>
      <c r="R46" s="191"/>
      <c r="S46" s="192"/>
      <c r="T46" s="193"/>
      <c r="U46" s="193"/>
      <c r="V46" s="193"/>
      <c r="W46" s="194"/>
    </row>
    <row r="47" spans="1:23" ht="39.6" customHeight="1" thickBot="1" x14ac:dyDescent="0.3">
      <c r="A47" s="186"/>
      <c r="B47" s="188"/>
      <c r="C47" s="118" t="s">
        <v>63</v>
      </c>
      <c r="D47" s="195"/>
      <c r="E47" s="196"/>
      <c r="F47" s="196"/>
      <c r="G47" s="196"/>
      <c r="H47" s="197"/>
      <c r="I47" s="195"/>
      <c r="J47" s="196"/>
      <c r="K47" s="196"/>
      <c r="L47" s="196"/>
      <c r="M47" s="196"/>
      <c r="N47" s="195"/>
      <c r="O47" s="196"/>
      <c r="P47" s="196"/>
      <c r="Q47" s="196"/>
      <c r="R47" s="197"/>
      <c r="S47" s="198"/>
      <c r="T47" s="199"/>
      <c r="U47" s="199"/>
      <c r="V47" s="199"/>
      <c r="W47" s="200"/>
    </row>
    <row r="48" spans="1:23" ht="13.8" thickTop="1" x14ac:dyDescent="0.25">
      <c r="A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x14ac:dyDescent="0.25">
      <c r="A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x14ac:dyDescent="0.25">
      <c r="A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</sheetData>
  <sortState xmlns:xlrd2="http://schemas.microsoft.com/office/spreadsheetml/2017/richdata2" ref="B6:B40">
    <sortCondition ref="B6"/>
  </sortState>
  <mergeCells count="20">
    <mergeCell ref="A1:C1"/>
    <mergeCell ref="D1:W1"/>
    <mergeCell ref="A2:C2"/>
    <mergeCell ref="D2:H3"/>
    <mergeCell ref="I2:M3"/>
    <mergeCell ref="N2:R3"/>
    <mergeCell ref="S2:W3"/>
    <mergeCell ref="A3:C3"/>
    <mergeCell ref="A4:C4"/>
    <mergeCell ref="D4:W4"/>
    <mergeCell ref="A46:A47"/>
    <mergeCell ref="B46:B47"/>
    <mergeCell ref="D46:H46"/>
    <mergeCell ref="I46:M46"/>
    <mergeCell ref="N46:R46"/>
    <mergeCell ref="S46:W46"/>
    <mergeCell ref="D47:H47"/>
    <mergeCell ref="I47:M47"/>
    <mergeCell ref="N47:R47"/>
    <mergeCell ref="S47:W47"/>
  </mergeCells>
  <printOptions horizontalCentered="1" verticalCentered="1"/>
  <pageMargins left="0" right="0" top="0.39370078740157483" bottom="0" header="0.51181102362204722" footer="0.39370078740157483"/>
  <pageSetup paperSize="9" scale="99" orientation="portrait" horizontalDpi="1200" verticalDpi="300" r:id="rId1"/>
  <headerFooter alignWithMargins="0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IV75"/>
  <sheetViews>
    <sheetView workbookViewId="0">
      <selection activeCell="AJ75" sqref="AJ75"/>
    </sheetView>
  </sheetViews>
  <sheetFormatPr defaultRowHeight="13.2" x14ac:dyDescent="0.25"/>
  <sheetData>
    <row r="1" spans="1:256" x14ac:dyDescent="0.25">
      <c r="A1" t="e">
        <f>IF(#REF!,"AAAAAGfr/AA=",0)</f>
        <v>#REF!</v>
      </c>
      <c r="B1" t="e">
        <f>AND(#REF!,"AAAAAGfr/AE=")</f>
        <v>#REF!</v>
      </c>
      <c r="C1" t="e">
        <f>AND(#REF!,"AAAAAGfr/AI=")</f>
        <v>#REF!</v>
      </c>
      <c r="D1" t="e">
        <f>AND(#REF!,"AAAAAGfr/AM=")</f>
        <v>#REF!</v>
      </c>
      <c r="E1" t="e">
        <f>AND(#REF!,"AAAAAGfr/AQ=")</f>
        <v>#REF!</v>
      </c>
      <c r="F1" t="e">
        <f>AND(#REF!,"AAAAAGfr/AU=")</f>
        <v>#REF!</v>
      </c>
      <c r="G1" t="e">
        <f>AND(#REF!,"AAAAAGfr/AY=")</f>
        <v>#REF!</v>
      </c>
      <c r="H1" t="e">
        <f>AND(#REF!,"AAAAAGfr/Ac=")</f>
        <v>#REF!</v>
      </c>
      <c r="I1" t="e">
        <f>AND(#REF!,"AAAAAGfr/Ag=")</f>
        <v>#REF!</v>
      </c>
      <c r="J1" t="e">
        <f>AND(#REF!,"AAAAAGfr/Ak=")</f>
        <v>#REF!</v>
      </c>
      <c r="K1" t="e">
        <f>AND(#REF!,"AAAAAGfr/Ao=")</f>
        <v>#REF!</v>
      </c>
      <c r="L1" t="e">
        <f>AND(#REF!,"AAAAAGfr/As=")</f>
        <v>#REF!</v>
      </c>
      <c r="M1" t="e">
        <f>AND(#REF!,"AAAAAGfr/Aw=")</f>
        <v>#REF!</v>
      </c>
      <c r="N1" t="e">
        <f>AND(#REF!,"AAAAAGfr/A0=")</f>
        <v>#REF!</v>
      </c>
      <c r="O1" t="e">
        <f>AND(#REF!,"AAAAAGfr/A4=")</f>
        <v>#REF!</v>
      </c>
      <c r="P1" t="e">
        <f>AND(#REF!,"AAAAAGfr/A8=")</f>
        <v>#REF!</v>
      </c>
      <c r="Q1" t="e">
        <f>AND(#REF!,"AAAAAGfr/BA=")</f>
        <v>#REF!</v>
      </c>
      <c r="R1" t="e">
        <f>AND(#REF!,"AAAAAGfr/BE=")</f>
        <v>#REF!</v>
      </c>
      <c r="S1" t="e">
        <f>AND(#REF!,"AAAAAGfr/BI=")</f>
        <v>#REF!</v>
      </c>
      <c r="T1" t="e">
        <f>AND(#REF!,"AAAAAGfr/BM=")</f>
        <v>#REF!</v>
      </c>
      <c r="U1" t="e">
        <f>AND(#REF!,"AAAAAGfr/BQ=")</f>
        <v>#REF!</v>
      </c>
      <c r="V1" t="e">
        <f>AND(#REF!,"AAAAAGfr/BU=")</f>
        <v>#REF!</v>
      </c>
      <c r="W1" t="e">
        <f>AND(#REF!,"AAAAAGfr/BY=")</f>
        <v>#REF!</v>
      </c>
      <c r="X1" t="e">
        <f>AND(#REF!,"AAAAAGfr/Bc=")</f>
        <v>#REF!</v>
      </c>
      <c r="Y1" t="e">
        <f>IF(#REF!,"AAAAAGfr/Bg=",0)</f>
        <v>#REF!</v>
      </c>
      <c r="Z1" t="e">
        <f>AND(#REF!,"AAAAAGfr/Bk=")</f>
        <v>#REF!</v>
      </c>
      <c r="AA1" t="e">
        <f>AND(#REF!,"AAAAAGfr/Bo=")</f>
        <v>#REF!</v>
      </c>
      <c r="AB1" t="e">
        <f>AND(#REF!,"AAAAAGfr/Bs=")</f>
        <v>#REF!</v>
      </c>
      <c r="AC1" t="e">
        <f>AND(#REF!,"AAAAAGfr/Bw=")</f>
        <v>#REF!</v>
      </c>
      <c r="AD1" t="e">
        <f>AND(#REF!,"AAAAAGfr/B0=")</f>
        <v>#REF!</v>
      </c>
      <c r="AE1" t="e">
        <f>AND(#REF!,"AAAAAGfr/B4=")</f>
        <v>#REF!</v>
      </c>
      <c r="AF1" t="e">
        <f>AND(#REF!,"AAAAAGfr/B8=")</f>
        <v>#REF!</v>
      </c>
      <c r="AG1" t="e">
        <f>AND(#REF!,"AAAAAGfr/CA=")</f>
        <v>#REF!</v>
      </c>
      <c r="AH1" t="e">
        <f>AND(#REF!,"AAAAAGfr/CE=")</f>
        <v>#REF!</v>
      </c>
      <c r="AI1" t="e">
        <f>AND(#REF!,"AAAAAGfr/CI=")</f>
        <v>#REF!</v>
      </c>
      <c r="AJ1" t="e">
        <f>AND(#REF!,"AAAAAGfr/CM=")</f>
        <v>#REF!</v>
      </c>
      <c r="AK1" t="e">
        <f>AND(#REF!,"AAAAAGfr/CQ=")</f>
        <v>#REF!</v>
      </c>
      <c r="AL1" t="e">
        <f>AND(#REF!,"AAAAAGfr/CU=")</f>
        <v>#REF!</v>
      </c>
      <c r="AM1" t="e">
        <f>AND(#REF!,"AAAAAGfr/CY=")</f>
        <v>#REF!</v>
      </c>
      <c r="AN1" t="e">
        <f>AND(#REF!,"AAAAAGfr/Cc=")</f>
        <v>#REF!</v>
      </c>
      <c r="AO1" t="e">
        <f>AND(#REF!,"AAAAAGfr/Cg=")</f>
        <v>#REF!</v>
      </c>
      <c r="AP1" t="e">
        <f>AND(#REF!,"AAAAAGfr/Ck=")</f>
        <v>#REF!</v>
      </c>
      <c r="AQ1" t="e">
        <f>AND(#REF!,"AAAAAGfr/Co=")</f>
        <v>#REF!</v>
      </c>
      <c r="AR1" t="e">
        <f>AND(#REF!,"AAAAAGfr/Cs=")</f>
        <v>#REF!</v>
      </c>
      <c r="AS1" t="e">
        <f>AND(#REF!,"AAAAAGfr/Cw=")</f>
        <v>#REF!</v>
      </c>
      <c r="AT1" t="e">
        <f>AND(#REF!,"AAAAAGfr/C0=")</f>
        <v>#REF!</v>
      </c>
      <c r="AU1" t="e">
        <f>AND(#REF!,"AAAAAGfr/C4=")</f>
        <v>#REF!</v>
      </c>
      <c r="AV1" t="e">
        <f>AND(#REF!,"AAAAAGfr/C8=")</f>
        <v>#REF!</v>
      </c>
      <c r="AW1" t="e">
        <f>IF(#REF!,"AAAAAGfr/DA=",0)</f>
        <v>#REF!</v>
      </c>
      <c r="AX1" t="e">
        <f>AND(#REF!,"AAAAAGfr/DE=")</f>
        <v>#REF!</v>
      </c>
      <c r="AY1" t="e">
        <f>AND(#REF!,"AAAAAGfr/DI=")</f>
        <v>#REF!</v>
      </c>
      <c r="AZ1" t="e">
        <f>AND(#REF!,"AAAAAGfr/DM=")</f>
        <v>#REF!</v>
      </c>
      <c r="BA1" t="e">
        <f>AND(#REF!,"AAAAAGfr/DQ=")</f>
        <v>#REF!</v>
      </c>
      <c r="BB1" t="e">
        <f>AND(#REF!,"AAAAAGfr/DU=")</f>
        <v>#REF!</v>
      </c>
      <c r="BC1" t="e">
        <f>AND(#REF!,"AAAAAGfr/DY=")</f>
        <v>#REF!</v>
      </c>
      <c r="BD1" t="e">
        <f>AND(#REF!,"AAAAAGfr/Dc=")</f>
        <v>#REF!</v>
      </c>
      <c r="BE1" t="e">
        <f>AND(#REF!,"AAAAAGfr/Dg=")</f>
        <v>#REF!</v>
      </c>
      <c r="BF1" t="e">
        <f>AND(#REF!,"AAAAAGfr/Dk=")</f>
        <v>#REF!</v>
      </c>
      <c r="BG1" t="e">
        <f>AND(#REF!,"AAAAAGfr/Do=")</f>
        <v>#REF!</v>
      </c>
      <c r="BH1" t="e">
        <f>AND(#REF!,"AAAAAGfr/Ds=")</f>
        <v>#REF!</v>
      </c>
      <c r="BI1" t="e">
        <f>AND(#REF!,"AAAAAGfr/Dw=")</f>
        <v>#REF!</v>
      </c>
      <c r="BJ1" t="e">
        <f>AND(#REF!,"AAAAAGfr/D0=")</f>
        <v>#REF!</v>
      </c>
      <c r="BK1" t="e">
        <f>AND(#REF!,"AAAAAGfr/D4=")</f>
        <v>#REF!</v>
      </c>
      <c r="BL1" t="e">
        <f>AND(#REF!,"AAAAAGfr/D8=")</f>
        <v>#REF!</v>
      </c>
      <c r="BM1" t="e">
        <f>AND(#REF!,"AAAAAGfr/EA=")</f>
        <v>#REF!</v>
      </c>
      <c r="BN1" t="e">
        <f>AND(#REF!,"AAAAAGfr/EE=")</f>
        <v>#REF!</v>
      </c>
      <c r="BO1" t="e">
        <f>AND(#REF!,"AAAAAGfr/EI=")</f>
        <v>#REF!</v>
      </c>
      <c r="BP1" t="e">
        <f>AND(#REF!,"AAAAAGfr/EM=")</f>
        <v>#REF!</v>
      </c>
      <c r="BQ1" t="e">
        <f>AND(#REF!,"AAAAAGfr/EQ=")</f>
        <v>#REF!</v>
      </c>
      <c r="BR1" t="e">
        <f>AND(#REF!,"AAAAAGfr/EU=")</f>
        <v>#REF!</v>
      </c>
      <c r="BS1" t="e">
        <f>AND(#REF!,"AAAAAGfr/EY=")</f>
        <v>#REF!</v>
      </c>
      <c r="BT1" t="e">
        <f>AND(#REF!,"AAAAAGfr/Ec=")</f>
        <v>#REF!</v>
      </c>
      <c r="BU1" t="e">
        <f>IF(#REF!,"AAAAAGfr/Eg=",0)</f>
        <v>#REF!</v>
      </c>
      <c r="BV1" t="e">
        <f>AND(#REF!,"AAAAAGfr/Ek=")</f>
        <v>#REF!</v>
      </c>
      <c r="BW1" t="e">
        <f>AND(#REF!,"AAAAAGfr/Eo=")</f>
        <v>#REF!</v>
      </c>
      <c r="BX1" t="e">
        <f>AND(#REF!,"AAAAAGfr/Es=")</f>
        <v>#REF!</v>
      </c>
      <c r="BY1" t="e">
        <f>AND(#REF!,"AAAAAGfr/Ew=")</f>
        <v>#REF!</v>
      </c>
      <c r="BZ1" t="e">
        <f>AND(#REF!,"AAAAAGfr/E0=")</f>
        <v>#REF!</v>
      </c>
      <c r="CA1" t="e">
        <f>AND(#REF!,"AAAAAGfr/E4=")</f>
        <v>#REF!</v>
      </c>
      <c r="CB1" t="e">
        <f>AND(#REF!,"AAAAAGfr/E8=")</f>
        <v>#REF!</v>
      </c>
      <c r="CC1" t="e">
        <f>AND(#REF!,"AAAAAGfr/FA=")</f>
        <v>#REF!</v>
      </c>
      <c r="CD1" t="e">
        <f>AND(#REF!,"AAAAAGfr/FE=")</f>
        <v>#REF!</v>
      </c>
      <c r="CE1" t="e">
        <f>AND(#REF!,"AAAAAGfr/FI=")</f>
        <v>#REF!</v>
      </c>
      <c r="CF1" t="e">
        <f>AND(#REF!,"AAAAAGfr/FM=")</f>
        <v>#REF!</v>
      </c>
      <c r="CG1" t="e">
        <f>AND(#REF!,"AAAAAGfr/FQ=")</f>
        <v>#REF!</v>
      </c>
      <c r="CH1" t="e">
        <f>AND(#REF!,"AAAAAGfr/FU=")</f>
        <v>#REF!</v>
      </c>
      <c r="CI1" t="e">
        <f>AND(#REF!,"AAAAAGfr/FY=")</f>
        <v>#REF!</v>
      </c>
      <c r="CJ1" t="e">
        <f>AND(#REF!,"AAAAAGfr/Fc=")</f>
        <v>#REF!</v>
      </c>
      <c r="CK1" t="e">
        <f>AND(#REF!,"AAAAAGfr/Fg=")</f>
        <v>#REF!</v>
      </c>
      <c r="CL1" t="e">
        <f>AND(#REF!,"AAAAAGfr/Fk=")</f>
        <v>#REF!</v>
      </c>
      <c r="CM1" t="e">
        <f>AND(#REF!,"AAAAAGfr/Fo=")</f>
        <v>#REF!</v>
      </c>
      <c r="CN1" t="e">
        <f>AND(#REF!,"AAAAAGfr/Fs=")</f>
        <v>#REF!</v>
      </c>
      <c r="CO1" t="e">
        <f>AND(#REF!,"AAAAAGfr/Fw=")</f>
        <v>#REF!</v>
      </c>
      <c r="CP1" t="e">
        <f>AND(#REF!,"AAAAAGfr/F0=")</f>
        <v>#REF!</v>
      </c>
      <c r="CQ1" t="e">
        <f>AND(#REF!,"AAAAAGfr/F4=")</f>
        <v>#REF!</v>
      </c>
      <c r="CR1" t="e">
        <f>AND(#REF!,"AAAAAGfr/F8=")</f>
        <v>#REF!</v>
      </c>
      <c r="CS1" t="e">
        <f>IF(#REF!,"AAAAAGfr/GA=",0)</f>
        <v>#REF!</v>
      </c>
      <c r="CT1" t="e">
        <f>AND(#REF!,"AAAAAGfr/GE=")</f>
        <v>#REF!</v>
      </c>
      <c r="CU1" t="e">
        <f>AND(#REF!,"AAAAAGfr/GI=")</f>
        <v>#REF!</v>
      </c>
      <c r="CV1" t="e">
        <f>AND(#REF!,"AAAAAGfr/GM=")</f>
        <v>#REF!</v>
      </c>
      <c r="CW1" t="e">
        <f>AND(#REF!,"AAAAAGfr/GQ=")</f>
        <v>#REF!</v>
      </c>
      <c r="CX1" t="e">
        <f>AND(#REF!,"AAAAAGfr/GU=")</f>
        <v>#REF!</v>
      </c>
      <c r="CY1" t="e">
        <f>AND(#REF!,"AAAAAGfr/GY=")</f>
        <v>#REF!</v>
      </c>
      <c r="CZ1" t="e">
        <f>AND(#REF!,"AAAAAGfr/Gc=")</f>
        <v>#REF!</v>
      </c>
      <c r="DA1" t="e">
        <f>AND(#REF!,"AAAAAGfr/Gg=")</f>
        <v>#REF!</v>
      </c>
      <c r="DB1" t="e">
        <f>AND(#REF!,"AAAAAGfr/Gk=")</f>
        <v>#REF!</v>
      </c>
      <c r="DC1" t="e">
        <f>AND(#REF!,"AAAAAGfr/Go=")</f>
        <v>#REF!</v>
      </c>
      <c r="DD1" t="e">
        <f>AND(#REF!,"AAAAAGfr/Gs=")</f>
        <v>#REF!</v>
      </c>
      <c r="DE1" t="e">
        <f>AND(#REF!,"AAAAAGfr/Gw=")</f>
        <v>#REF!</v>
      </c>
      <c r="DF1" t="e">
        <f>AND(#REF!,"AAAAAGfr/G0=")</f>
        <v>#REF!</v>
      </c>
      <c r="DG1" t="e">
        <f>AND(#REF!,"AAAAAGfr/G4=")</f>
        <v>#REF!</v>
      </c>
      <c r="DH1" t="e">
        <f>AND(#REF!,"AAAAAGfr/G8=")</f>
        <v>#REF!</v>
      </c>
      <c r="DI1" t="e">
        <f>AND(#REF!,"AAAAAGfr/HA=")</f>
        <v>#REF!</v>
      </c>
      <c r="DJ1" t="e">
        <f>AND(#REF!,"AAAAAGfr/HE=")</f>
        <v>#REF!</v>
      </c>
      <c r="DK1" t="e">
        <f>AND(#REF!,"AAAAAGfr/HI=")</f>
        <v>#REF!</v>
      </c>
      <c r="DL1" t="e">
        <f>AND(#REF!,"AAAAAGfr/HM=")</f>
        <v>#REF!</v>
      </c>
      <c r="DM1" t="e">
        <f>AND(#REF!,"AAAAAGfr/HQ=")</f>
        <v>#REF!</v>
      </c>
      <c r="DN1" t="e">
        <f>AND(#REF!,"AAAAAGfr/HU=")</f>
        <v>#REF!</v>
      </c>
      <c r="DO1" t="e">
        <f>AND(#REF!,"AAAAAGfr/HY=")</f>
        <v>#REF!</v>
      </c>
      <c r="DP1" t="e">
        <f>AND(#REF!,"AAAAAGfr/Hc=")</f>
        <v>#REF!</v>
      </c>
      <c r="DQ1" t="e">
        <f>IF(#REF!,"AAAAAGfr/Hg=",0)</f>
        <v>#REF!</v>
      </c>
      <c r="DR1" t="e">
        <f>AND(#REF!,"AAAAAGfr/Hk=")</f>
        <v>#REF!</v>
      </c>
      <c r="DS1" t="e">
        <f>AND(#REF!,"AAAAAGfr/Ho=")</f>
        <v>#REF!</v>
      </c>
      <c r="DT1" t="e">
        <f>AND(#REF!,"AAAAAGfr/Hs=")</f>
        <v>#REF!</v>
      </c>
      <c r="DU1" t="e">
        <f>AND(#REF!,"AAAAAGfr/Hw=")</f>
        <v>#REF!</v>
      </c>
      <c r="DV1" t="e">
        <f>AND(#REF!,"AAAAAGfr/H0=")</f>
        <v>#REF!</v>
      </c>
      <c r="DW1" t="e">
        <f>AND(#REF!,"AAAAAGfr/H4=")</f>
        <v>#REF!</v>
      </c>
      <c r="DX1" t="e">
        <f>AND(#REF!,"AAAAAGfr/H8=")</f>
        <v>#REF!</v>
      </c>
      <c r="DY1" t="e">
        <f>AND(#REF!,"AAAAAGfr/IA=")</f>
        <v>#REF!</v>
      </c>
      <c r="DZ1" t="e">
        <f>AND(#REF!,"AAAAAGfr/IE=")</f>
        <v>#REF!</v>
      </c>
      <c r="EA1" t="e">
        <f>AND(#REF!,"AAAAAGfr/II=")</f>
        <v>#REF!</v>
      </c>
      <c r="EB1" t="e">
        <f>AND(#REF!,"AAAAAGfr/IM=")</f>
        <v>#REF!</v>
      </c>
      <c r="EC1" t="e">
        <f>AND(#REF!,"AAAAAGfr/IQ=")</f>
        <v>#REF!</v>
      </c>
      <c r="ED1" t="e">
        <f>AND(#REF!,"AAAAAGfr/IU=")</f>
        <v>#REF!</v>
      </c>
      <c r="EE1" t="e">
        <f>AND(#REF!,"AAAAAGfr/IY=")</f>
        <v>#REF!</v>
      </c>
      <c r="EF1" t="e">
        <f>AND(#REF!,"AAAAAGfr/Ic=")</f>
        <v>#REF!</v>
      </c>
      <c r="EG1" t="e">
        <f>AND(#REF!,"AAAAAGfr/Ig=")</f>
        <v>#REF!</v>
      </c>
      <c r="EH1" t="e">
        <f>AND(#REF!,"AAAAAGfr/Ik=")</f>
        <v>#REF!</v>
      </c>
      <c r="EI1" t="e">
        <f>AND(#REF!,"AAAAAGfr/Io=")</f>
        <v>#REF!</v>
      </c>
      <c r="EJ1" t="e">
        <f>AND(#REF!,"AAAAAGfr/Is=")</f>
        <v>#REF!</v>
      </c>
      <c r="EK1" t="e">
        <f>AND(#REF!,"AAAAAGfr/Iw=")</f>
        <v>#REF!</v>
      </c>
      <c r="EL1" t="e">
        <f>AND(#REF!,"AAAAAGfr/I0=")</f>
        <v>#REF!</v>
      </c>
      <c r="EM1" t="e">
        <f>AND(#REF!,"AAAAAGfr/I4=")</f>
        <v>#REF!</v>
      </c>
      <c r="EN1" t="e">
        <f>AND(#REF!,"AAAAAGfr/I8=")</f>
        <v>#REF!</v>
      </c>
      <c r="EO1" t="e">
        <f>IF(#REF!,"AAAAAGfr/JA=",0)</f>
        <v>#REF!</v>
      </c>
      <c r="EP1" t="e">
        <f>AND(#REF!,"AAAAAGfr/JE=")</f>
        <v>#REF!</v>
      </c>
      <c r="EQ1" t="e">
        <f>AND(#REF!,"AAAAAGfr/JI=")</f>
        <v>#REF!</v>
      </c>
      <c r="ER1" t="e">
        <f>AND(#REF!,"AAAAAGfr/JM=")</f>
        <v>#REF!</v>
      </c>
      <c r="ES1" t="e">
        <f>AND(#REF!,"AAAAAGfr/JQ=")</f>
        <v>#REF!</v>
      </c>
      <c r="ET1" t="e">
        <f>AND(#REF!,"AAAAAGfr/JU=")</f>
        <v>#REF!</v>
      </c>
      <c r="EU1" t="e">
        <f>AND(#REF!,"AAAAAGfr/JY=")</f>
        <v>#REF!</v>
      </c>
      <c r="EV1" t="e">
        <f>AND(#REF!,"AAAAAGfr/Jc=")</f>
        <v>#REF!</v>
      </c>
      <c r="EW1" t="e">
        <f>AND(#REF!,"AAAAAGfr/Jg=")</f>
        <v>#REF!</v>
      </c>
      <c r="EX1" t="e">
        <f>AND(#REF!,"AAAAAGfr/Jk=")</f>
        <v>#REF!</v>
      </c>
      <c r="EY1" t="e">
        <f>AND(#REF!,"AAAAAGfr/Jo=")</f>
        <v>#REF!</v>
      </c>
      <c r="EZ1" t="e">
        <f>AND(#REF!,"AAAAAGfr/Js=")</f>
        <v>#REF!</v>
      </c>
      <c r="FA1" t="e">
        <f>AND(#REF!,"AAAAAGfr/Jw=")</f>
        <v>#REF!</v>
      </c>
      <c r="FB1" t="e">
        <f>AND(#REF!,"AAAAAGfr/J0=")</f>
        <v>#REF!</v>
      </c>
      <c r="FC1" t="e">
        <f>AND(#REF!,"AAAAAGfr/J4=")</f>
        <v>#REF!</v>
      </c>
      <c r="FD1" t="e">
        <f>AND(#REF!,"AAAAAGfr/J8=")</f>
        <v>#REF!</v>
      </c>
      <c r="FE1" t="e">
        <f>AND(#REF!,"AAAAAGfr/KA=")</f>
        <v>#REF!</v>
      </c>
      <c r="FF1" t="e">
        <f>AND(#REF!,"AAAAAGfr/KE=")</f>
        <v>#REF!</v>
      </c>
      <c r="FG1" t="e">
        <f>AND(#REF!,"AAAAAGfr/KI=")</f>
        <v>#REF!</v>
      </c>
      <c r="FH1" t="e">
        <f>AND(#REF!,"AAAAAGfr/KM=")</f>
        <v>#REF!</v>
      </c>
      <c r="FI1" t="e">
        <f>AND(#REF!,"AAAAAGfr/KQ=")</f>
        <v>#REF!</v>
      </c>
      <c r="FJ1" t="e">
        <f>AND(#REF!,"AAAAAGfr/KU=")</f>
        <v>#REF!</v>
      </c>
      <c r="FK1" t="e">
        <f>AND(#REF!,"AAAAAGfr/KY=")</f>
        <v>#REF!</v>
      </c>
      <c r="FL1" t="e">
        <f>AND(#REF!,"AAAAAGfr/Kc=")</f>
        <v>#REF!</v>
      </c>
      <c r="FM1" t="e">
        <f>IF(#REF!,"AAAAAGfr/Kg=",0)</f>
        <v>#REF!</v>
      </c>
      <c r="FN1" t="e">
        <f>AND(#REF!,"AAAAAGfr/Kk=")</f>
        <v>#REF!</v>
      </c>
      <c r="FO1" t="e">
        <f>AND(#REF!,"AAAAAGfr/Ko=")</f>
        <v>#REF!</v>
      </c>
      <c r="FP1" t="e">
        <f>AND(#REF!,"AAAAAGfr/Ks=")</f>
        <v>#REF!</v>
      </c>
      <c r="FQ1" t="e">
        <f>AND(#REF!,"AAAAAGfr/Kw=")</f>
        <v>#REF!</v>
      </c>
      <c r="FR1" t="e">
        <f>AND(#REF!,"AAAAAGfr/K0=")</f>
        <v>#REF!</v>
      </c>
      <c r="FS1" t="e">
        <f>AND(#REF!,"AAAAAGfr/K4=")</f>
        <v>#REF!</v>
      </c>
      <c r="FT1" t="e">
        <f>AND(#REF!,"AAAAAGfr/K8=")</f>
        <v>#REF!</v>
      </c>
      <c r="FU1" t="e">
        <f>AND(#REF!,"AAAAAGfr/LA=")</f>
        <v>#REF!</v>
      </c>
      <c r="FV1" t="e">
        <f>AND(#REF!,"AAAAAGfr/LE=")</f>
        <v>#REF!</v>
      </c>
      <c r="FW1" t="e">
        <f>AND(#REF!,"AAAAAGfr/LI=")</f>
        <v>#REF!</v>
      </c>
      <c r="FX1" t="e">
        <f>AND(#REF!,"AAAAAGfr/LM=")</f>
        <v>#REF!</v>
      </c>
      <c r="FY1" t="e">
        <f>AND(#REF!,"AAAAAGfr/LQ=")</f>
        <v>#REF!</v>
      </c>
      <c r="FZ1" t="e">
        <f>AND(#REF!,"AAAAAGfr/LU=")</f>
        <v>#REF!</v>
      </c>
      <c r="GA1" t="e">
        <f>AND(#REF!,"AAAAAGfr/LY=")</f>
        <v>#REF!</v>
      </c>
      <c r="GB1" t="e">
        <f>AND(#REF!,"AAAAAGfr/Lc=")</f>
        <v>#REF!</v>
      </c>
      <c r="GC1" t="e">
        <f>AND(#REF!,"AAAAAGfr/Lg=")</f>
        <v>#REF!</v>
      </c>
      <c r="GD1" t="e">
        <f>AND(#REF!,"AAAAAGfr/Lk=")</f>
        <v>#REF!</v>
      </c>
      <c r="GE1" t="e">
        <f>AND(#REF!,"AAAAAGfr/Lo=")</f>
        <v>#REF!</v>
      </c>
      <c r="GF1" t="e">
        <f>AND(#REF!,"AAAAAGfr/Ls=")</f>
        <v>#REF!</v>
      </c>
      <c r="GG1" t="e">
        <f>AND(#REF!,"AAAAAGfr/Lw=")</f>
        <v>#REF!</v>
      </c>
      <c r="GH1" t="e">
        <f>AND(#REF!,"AAAAAGfr/L0=")</f>
        <v>#REF!</v>
      </c>
      <c r="GI1" t="e">
        <f>AND(#REF!,"AAAAAGfr/L4=")</f>
        <v>#REF!</v>
      </c>
      <c r="GJ1" t="e">
        <f>AND(#REF!,"AAAAAGfr/L8=")</f>
        <v>#REF!</v>
      </c>
      <c r="GK1" t="e">
        <f>IF(#REF!,"AAAAAGfr/MA=",0)</f>
        <v>#REF!</v>
      </c>
      <c r="GL1" t="e">
        <f>AND(#REF!,"AAAAAGfr/ME=")</f>
        <v>#REF!</v>
      </c>
      <c r="GM1" t="e">
        <f>AND(#REF!,"AAAAAGfr/MI=")</f>
        <v>#REF!</v>
      </c>
      <c r="GN1" t="e">
        <f>AND(#REF!,"AAAAAGfr/MM=")</f>
        <v>#REF!</v>
      </c>
      <c r="GO1" t="e">
        <f>AND(#REF!,"AAAAAGfr/MQ=")</f>
        <v>#REF!</v>
      </c>
      <c r="GP1" t="e">
        <f>AND(#REF!,"AAAAAGfr/MU=")</f>
        <v>#REF!</v>
      </c>
      <c r="GQ1" t="e">
        <f>AND(#REF!,"AAAAAGfr/MY=")</f>
        <v>#REF!</v>
      </c>
      <c r="GR1" t="e">
        <f>AND(#REF!,"AAAAAGfr/Mc=")</f>
        <v>#REF!</v>
      </c>
      <c r="GS1" t="e">
        <f>AND(#REF!,"AAAAAGfr/Mg=")</f>
        <v>#REF!</v>
      </c>
      <c r="GT1" t="e">
        <f>AND(#REF!,"AAAAAGfr/Mk=")</f>
        <v>#REF!</v>
      </c>
      <c r="GU1" t="e">
        <f>AND(#REF!,"AAAAAGfr/Mo=")</f>
        <v>#REF!</v>
      </c>
      <c r="GV1" t="e">
        <f>AND(#REF!,"AAAAAGfr/Ms=")</f>
        <v>#REF!</v>
      </c>
      <c r="GW1" t="e">
        <f>AND(#REF!,"AAAAAGfr/Mw=")</f>
        <v>#REF!</v>
      </c>
      <c r="GX1" t="e">
        <f>AND(#REF!,"AAAAAGfr/M0=")</f>
        <v>#REF!</v>
      </c>
      <c r="GY1" t="e">
        <f>AND(#REF!,"AAAAAGfr/M4=")</f>
        <v>#REF!</v>
      </c>
      <c r="GZ1" t="e">
        <f>AND(#REF!,"AAAAAGfr/M8=")</f>
        <v>#REF!</v>
      </c>
      <c r="HA1" t="e">
        <f>AND(#REF!,"AAAAAGfr/NA=")</f>
        <v>#REF!</v>
      </c>
      <c r="HB1" t="e">
        <f>AND(#REF!,"AAAAAGfr/NE=")</f>
        <v>#REF!</v>
      </c>
      <c r="HC1" t="e">
        <f>AND(#REF!,"AAAAAGfr/NI=")</f>
        <v>#REF!</v>
      </c>
      <c r="HD1" t="e">
        <f>AND(#REF!,"AAAAAGfr/NM=")</f>
        <v>#REF!</v>
      </c>
      <c r="HE1" t="e">
        <f>AND(#REF!,"AAAAAGfr/NQ=")</f>
        <v>#REF!</v>
      </c>
      <c r="HF1" t="e">
        <f>AND(#REF!,"AAAAAGfr/NU=")</f>
        <v>#REF!</v>
      </c>
      <c r="HG1" t="e">
        <f>AND(#REF!,"AAAAAGfr/NY=")</f>
        <v>#REF!</v>
      </c>
      <c r="HH1" t="e">
        <f>AND(#REF!,"AAAAAGfr/Nc=")</f>
        <v>#REF!</v>
      </c>
      <c r="HI1" t="e">
        <f>IF(#REF!,"AAAAAGfr/Ng=",0)</f>
        <v>#REF!</v>
      </c>
      <c r="HJ1" t="e">
        <f>AND(#REF!,"AAAAAGfr/Nk=")</f>
        <v>#REF!</v>
      </c>
      <c r="HK1" t="e">
        <f>AND(#REF!,"AAAAAGfr/No=")</f>
        <v>#REF!</v>
      </c>
      <c r="HL1" t="e">
        <f>AND(#REF!,"AAAAAGfr/Ns=")</f>
        <v>#REF!</v>
      </c>
      <c r="HM1" t="e">
        <f>AND(#REF!,"AAAAAGfr/Nw=")</f>
        <v>#REF!</v>
      </c>
      <c r="HN1" t="e">
        <f>AND(#REF!,"AAAAAGfr/N0=")</f>
        <v>#REF!</v>
      </c>
      <c r="HO1" t="e">
        <f>AND(#REF!,"AAAAAGfr/N4=")</f>
        <v>#REF!</v>
      </c>
      <c r="HP1" t="e">
        <f>AND(#REF!,"AAAAAGfr/N8=")</f>
        <v>#REF!</v>
      </c>
      <c r="HQ1" t="e">
        <f>AND(#REF!,"AAAAAGfr/OA=")</f>
        <v>#REF!</v>
      </c>
      <c r="HR1" t="e">
        <f>AND(#REF!,"AAAAAGfr/OE=")</f>
        <v>#REF!</v>
      </c>
      <c r="HS1" t="e">
        <f>AND(#REF!,"AAAAAGfr/OI=")</f>
        <v>#REF!</v>
      </c>
      <c r="HT1" t="e">
        <f>AND(#REF!,"AAAAAGfr/OM=")</f>
        <v>#REF!</v>
      </c>
      <c r="HU1" t="e">
        <f>AND(#REF!,"AAAAAGfr/OQ=")</f>
        <v>#REF!</v>
      </c>
      <c r="HV1" t="e">
        <f>AND(#REF!,"AAAAAGfr/OU=")</f>
        <v>#REF!</v>
      </c>
      <c r="HW1" t="e">
        <f>AND(#REF!,"AAAAAGfr/OY=")</f>
        <v>#REF!</v>
      </c>
      <c r="HX1" t="e">
        <f>AND(#REF!,"AAAAAGfr/Oc=")</f>
        <v>#REF!</v>
      </c>
      <c r="HY1" t="e">
        <f>AND(#REF!,"AAAAAGfr/Og=")</f>
        <v>#REF!</v>
      </c>
      <c r="HZ1" t="e">
        <f>AND(#REF!,"AAAAAGfr/Ok=")</f>
        <v>#REF!</v>
      </c>
      <c r="IA1" t="e">
        <f>AND(#REF!,"AAAAAGfr/Oo=")</f>
        <v>#REF!</v>
      </c>
      <c r="IB1" t="e">
        <f>AND(#REF!,"AAAAAGfr/Os=")</f>
        <v>#REF!</v>
      </c>
      <c r="IC1" t="e">
        <f>AND(#REF!,"AAAAAGfr/Ow=")</f>
        <v>#REF!</v>
      </c>
      <c r="ID1" t="e">
        <f>AND(#REF!,"AAAAAGfr/O0=")</f>
        <v>#REF!</v>
      </c>
      <c r="IE1" t="e">
        <f>AND(#REF!,"AAAAAGfr/O4=")</f>
        <v>#REF!</v>
      </c>
      <c r="IF1" t="e">
        <f>AND(#REF!,"AAAAAGfr/O8=")</f>
        <v>#REF!</v>
      </c>
      <c r="IG1" t="e">
        <f>IF(#REF!,"AAAAAGfr/PA=",0)</f>
        <v>#REF!</v>
      </c>
      <c r="IH1" t="e">
        <f>AND(#REF!,"AAAAAGfr/PE=")</f>
        <v>#REF!</v>
      </c>
      <c r="II1" t="e">
        <f>AND(#REF!,"AAAAAGfr/PI=")</f>
        <v>#REF!</v>
      </c>
      <c r="IJ1" t="e">
        <f>AND(#REF!,"AAAAAGfr/PM=")</f>
        <v>#REF!</v>
      </c>
      <c r="IK1" t="e">
        <f>AND(#REF!,"AAAAAGfr/PQ=")</f>
        <v>#REF!</v>
      </c>
      <c r="IL1" t="e">
        <f>AND(#REF!,"AAAAAGfr/PU=")</f>
        <v>#REF!</v>
      </c>
      <c r="IM1" t="e">
        <f>AND(#REF!,"AAAAAGfr/PY=")</f>
        <v>#REF!</v>
      </c>
      <c r="IN1" t="e">
        <f>AND(#REF!,"AAAAAGfr/Pc=")</f>
        <v>#REF!</v>
      </c>
      <c r="IO1" t="e">
        <f>AND(#REF!,"AAAAAGfr/Pg=")</f>
        <v>#REF!</v>
      </c>
      <c r="IP1" t="e">
        <f>AND(#REF!,"AAAAAGfr/Pk=")</f>
        <v>#REF!</v>
      </c>
      <c r="IQ1" t="e">
        <f>AND(#REF!,"AAAAAGfr/Po=")</f>
        <v>#REF!</v>
      </c>
      <c r="IR1" t="e">
        <f>AND(#REF!,"AAAAAGfr/Ps=")</f>
        <v>#REF!</v>
      </c>
      <c r="IS1" t="e">
        <f>AND(#REF!,"AAAAAGfr/Pw=")</f>
        <v>#REF!</v>
      </c>
      <c r="IT1" t="e">
        <f>AND(#REF!,"AAAAAGfr/P0=")</f>
        <v>#REF!</v>
      </c>
      <c r="IU1" t="e">
        <f>AND(#REF!,"AAAAAGfr/P4=")</f>
        <v>#REF!</v>
      </c>
      <c r="IV1" t="e">
        <f>AND(#REF!,"AAAAAGfr/P8=")</f>
        <v>#REF!</v>
      </c>
    </row>
    <row r="2" spans="1:256" x14ac:dyDescent="0.25">
      <c r="A2" t="e">
        <f>AND(#REF!,"AAAAAHG7fwA=")</f>
        <v>#REF!</v>
      </c>
      <c r="B2" t="e">
        <f>AND(#REF!,"AAAAAHG7fwE=")</f>
        <v>#REF!</v>
      </c>
      <c r="C2" t="e">
        <f>AND(#REF!,"AAAAAHG7fwI=")</f>
        <v>#REF!</v>
      </c>
      <c r="D2" t="e">
        <f>AND(#REF!,"AAAAAHG7fwM=")</f>
        <v>#REF!</v>
      </c>
      <c r="E2" t="e">
        <f>AND(#REF!,"AAAAAHG7fwQ=")</f>
        <v>#REF!</v>
      </c>
      <c r="F2" t="e">
        <f>AND(#REF!,"AAAAAHG7fwU=")</f>
        <v>#REF!</v>
      </c>
      <c r="G2" t="e">
        <f>AND(#REF!,"AAAAAHG7fwY=")</f>
        <v>#REF!</v>
      </c>
      <c r="H2" t="e">
        <f>AND(#REF!,"AAAAAHG7fwc=")</f>
        <v>#REF!</v>
      </c>
      <c r="I2" t="e">
        <f>IF(#REF!,"AAAAAHG7fwg=",0)</f>
        <v>#REF!</v>
      </c>
      <c r="J2" t="e">
        <f>AND(#REF!,"AAAAAHG7fwk=")</f>
        <v>#REF!</v>
      </c>
      <c r="K2" t="e">
        <f>AND(#REF!,"AAAAAHG7fwo=")</f>
        <v>#REF!</v>
      </c>
      <c r="L2" t="e">
        <f>AND(#REF!,"AAAAAHG7fws=")</f>
        <v>#REF!</v>
      </c>
      <c r="M2" t="e">
        <f>AND(#REF!,"AAAAAHG7fww=")</f>
        <v>#REF!</v>
      </c>
      <c r="N2" t="e">
        <f>AND(#REF!,"AAAAAHG7fw0=")</f>
        <v>#REF!</v>
      </c>
      <c r="O2" t="e">
        <f>AND(#REF!,"AAAAAHG7fw4=")</f>
        <v>#REF!</v>
      </c>
      <c r="P2" t="e">
        <f>AND(#REF!,"AAAAAHG7fw8=")</f>
        <v>#REF!</v>
      </c>
      <c r="Q2" t="e">
        <f>AND(#REF!,"AAAAAHG7fxA=")</f>
        <v>#REF!</v>
      </c>
      <c r="R2" t="e">
        <f>AND(#REF!,"AAAAAHG7fxE=")</f>
        <v>#REF!</v>
      </c>
      <c r="S2" t="e">
        <f>AND(#REF!,"AAAAAHG7fxI=")</f>
        <v>#REF!</v>
      </c>
      <c r="T2" t="e">
        <f>AND(#REF!,"AAAAAHG7fxM=")</f>
        <v>#REF!</v>
      </c>
      <c r="U2" t="e">
        <f>AND(#REF!,"AAAAAHG7fxQ=")</f>
        <v>#REF!</v>
      </c>
      <c r="V2" t="e">
        <f>AND(#REF!,"AAAAAHG7fxU=")</f>
        <v>#REF!</v>
      </c>
      <c r="W2" t="e">
        <f>AND(#REF!,"AAAAAHG7fxY=")</f>
        <v>#REF!</v>
      </c>
      <c r="X2" t="e">
        <f>AND(#REF!,"AAAAAHG7fxc=")</f>
        <v>#REF!</v>
      </c>
      <c r="Y2" t="e">
        <f>AND(#REF!,"AAAAAHG7fxg=")</f>
        <v>#REF!</v>
      </c>
      <c r="Z2" t="e">
        <f>AND(#REF!,"AAAAAHG7fxk=")</f>
        <v>#REF!</v>
      </c>
      <c r="AA2" t="e">
        <f>AND(#REF!,"AAAAAHG7fxo=")</f>
        <v>#REF!</v>
      </c>
      <c r="AB2" t="e">
        <f>AND(#REF!,"AAAAAHG7fxs=")</f>
        <v>#REF!</v>
      </c>
      <c r="AC2" t="e">
        <f>AND(#REF!,"AAAAAHG7fxw=")</f>
        <v>#REF!</v>
      </c>
      <c r="AD2" t="e">
        <f>AND(#REF!,"AAAAAHG7fx0=")</f>
        <v>#REF!</v>
      </c>
      <c r="AE2" t="e">
        <f>AND(#REF!,"AAAAAHG7fx4=")</f>
        <v>#REF!</v>
      </c>
      <c r="AF2" t="e">
        <f>AND(#REF!,"AAAAAHG7fx8=")</f>
        <v>#REF!</v>
      </c>
      <c r="AG2" t="e">
        <f>IF(#REF!,"AAAAAHG7fyA=",0)</f>
        <v>#REF!</v>
      </c>
      <c r="AH2" t="e">
        <f>AND(#REF!,"AAAAAHG7fyE=")</f>
        <v>#REF!</v>
      </c>
      <c r="AI2" t="e">
        <f>AND(#REF!,"AAAAAHG7fyI=")</f>
        <v>#REF!</v>
      </c>
      <c r="AJ2" t="e">
        <f>AND(#REF!,"AAAAAHG7fyM=")</f>
        <v>#REF!</v>
      </c>
      <c r="AK2" t="e">
        <f>AND(#REF!,"AAAAAHG7fyQ=")</f>
        <v>#REF!</v>
      </c>
      <c r="AL2" t="e">
        <f>AND(#REF!,"AAAAAHG7fyU=")</f>
        <v>#REF!</v>
      </c>
      <c r="AM2" t="e">
        <f>AND(#REF!,"AAAAAHG7fyY=")</f>
        <v>#REF!</v>
      </c>
      <c r="AN2" t="e">
        <f>AND(#REF!,"AAAAAHG7fyc=")</f>
        <v>#REF!</v>
      </c>
      <c r="AO2" t="e">
        <f>AND(#REF!,"AAAAAHG7fyg=")</f>
        <v>#REF!</v>
      </c>
      <c r="AP2" t="e">
        <f>AND(#REF!,"AAAAAHG7fyk=")</f>
        <v>#REF!</v>
      </c>
      <c r="AQ2" t="e">
        <f>AND(#REF!,"AAAAAHG7fyo=")</f>
        <v>#REF!</v>
      </c>
      <c r="AR2" t="e">
        <f>AND(#REF!,"AAAAAHG7fys=")</f>
        <v>#REF!</v>
      </c>
      <c r="AS2" t="e">
        <f>AND(#REF!,"AAAAAHG7fyw=")</f>
        <v>#REF!</v>
      </c>
      <c r="AT2" t="e">
        <f>AND(#REF!,"AAAAAHG7fy0=")</f>
        <v>#REF!</v>
      </c>
      <c r="AU2" t="e">
        <f>AND(#REF!,"AAAAAHG7fy4=")</f>
        <v>#REF!</v>
      </c>
      <c r="AV2" t="e">
        <f>AND(#REF!,"AAAAAHG7fy8=")</f>
        <v>#REF!</v>
      </c>
      <c r="AW2" t="e">
        <f>AND(#REF!,"AAAAAHG7fzA=")</f>
        <v>#REF!</v>
      </c>
      <c r="AX2" t="e">
        <f>AND(#REF!,"AAAAAHG7fzE=")</f>
        <v>#REF!</v>
      </c>
      <c r="AY2" t="e">
        <f>AND(#REF!,"AAAAAHG7fzI=")</f>
        <v>#REF!</v>
      </c>
      <c r="AZ2" t="e">
        <f>AND(#REF!,"AAAAAHG7fzM=")</f>
        <v>#REF!</v>
      </c>
      <c r="BA2" t="e">
        <f>AND(#REF!,"AAAAAHG7fzQ=")</f>
        <v>#REF!</v>
      </c>
      <c r="BB2" t="e">
        <f>AND(#REF!,"AAAAAHG7fzU=")</f>
        <v>#REF!</v>
      </c>
      <c r="BC2" t="e">
        <f>AND(#REF!,"AAAAAHG7fzY=")</f>
        <v>#REF!</v>
      </c>
      <c r="BD2" t="e">
        <f>AND(#REF!,"AAAAAHG7fzc=")</f>
        <v>#REF!</v>
      </c>
      <c r="BE2" t="e">
        <f>IF(#REF!,"AAAAAHG7fzg=",0)</f>
        <v>#REF!</v>
      </c>
      <c r="BF2" t="e">
        <f>AND(#REF!,"AAAAAHG7fzk=")</f>
        <v>#REF!</v>
      </c>
      <c r="BG2" t="e">
        <f>AND(#REF!,"AAAAAHG7fzo=")</f>
        <v>#REF!</v>
      </c>
      <c r="BH2" t="e">
        <f>AND(#REF!,"AAAAAHG7fzs=")</f>
        <v>#REF!</v>
      </c>
      <c r="BI2" t="e">
        <f>AND(#REF!,"AAAAAHG7fzw=")</f>
        <v>#REF!</v>
      </c>
      <c r="BJ2" t="e">
        <f>AND(#REF!,"AAAAAHG7fz0=")</f>
        <v>#REF!</v>
      </c>
      <c r="BK2" t="e">
        <f>AND(#REF!,"AAAAAHG7fz4=")</f>
        <v>#REF!</v>
      </c>
      <c r="BL2" t="e">
        <f>AND(#REF!,"AAAAAHG7fz8=")</f>
        <v>#REF!</v>
      </c>
      <c r="BM2" t="e">
        <f>AND(#REF!,"AAAAAHG7f0A=")</f>
        <v>#REF!</v>
      </c>
      <c r="BN2" t="e">
        <f>AND(#REF!,"AAAAAHG7f0E=")</f>
        <v>#REF!</v>
      </c>
      <c r="BO2" t="e">
        <f>AND(#REF!,"AAAAAHG7f0I=")</f>
        <v>#REF!</v>
      </c>
      <c r="BP2" t="e">
        <f>AND(#REF!,"AAAAAHG7f0M=")</f>
        <v>#REF!</v>
      </c>
      <c r="BQ2" t="e">
        <f>AND(#REF!,"AAAAAHG7f0Q=")</f>
        <v>#REF!</v>
      </c>
      <c r="BR2" t="e">
        <f>AND(#REF!,"AAAAAHG7f0U=")</f>
        <v>#REF!</v>
      </c>
      <c r="BS2" t="e">
        <f>AND(#REF!,"AAAAAHG7f0Y=")</f>
        <v>#REF!</v>
      </c>
      <c r="BT2" t="e">
        <f>AND(#REF!,"AAAAAHG7f0c=")</f>
        <v>#REF!</v>
      </c>
      <c r="BU2" t="e">
        <f>AND(#REF!,"AAAAAHG7f0g=")</f>
        <v>#REF!</v>
      </c>
      <c r="BV2" t="e">
        <f>AND(#REF!,"AAAAAHG7f0k=")</f>
        <v>#REF!</v>
      </c>
      <c r="BW2" t="e">
        <f>AND(#REF!,"AAAAAHG7f0o=")</f>
        <v>#REF!</v>
      </c>
      <c r="BX2" t="e">
        <f>AND(#REF!,"AAAAAHG7f0s=")</f>
        <v>#REF!</v>
      </c>
      <c r="BY2" t="e">
        <f>AND(#REF!,"AAAAAHG7f0w=")</f>
        <v>#REF!</v>
      </c>
      <c r="BZ2" t="e">
        <f>AND(#REF!,"AAAAAHG7f00=")</f>
        <v>#REF!</v>
      </c>
      <c r="CA2" t="e">
        <f>AND(#REF!,"AAAAAHG7f04=")</f>
        <v>#REF!</v>
      </c>
      <c r="CB2" t="e">
        <f>AND(#REF!,"AAAAAHG7f08=")</f>
        <v>#REF!</v>
      </c>
      <c r="CC2" t="e">
        <f>IF(#REF!,"AAAAAHG7f1A=",0)</f>
        <v>#REF!</v>
      </c>
      <c r="CD2" t="e">
        <f>AND(#REF!,"AAAAAHG7f1E=")</f>
        <v>#REF!</v>
      </c>
      <c r="CE2" t="e">
        <f>AND(#REF!,"AAAAAHG7f1I=")</f>
        <v>#REF!</v>
      </c>
      <c r="CF2" t="e">
        <f>AND(#REF!,"AAAAAHG7f1M=")</f>
        <v>#REF!</v>
      </c>
      <c r="CG2" t="e">
        <f>AND(#REF!,"AAAAAHG7f1Q=")</f>
        <v>#REF!</v>
      </c>
      <c r="CH2" t="e">
        <f>AND(#REF!,"AAAAAHG7f1U=")</f>
        <v>#REF!</v>
      </c>
      <c r="CI2" t="e">
        <f>AND(#REF!,"AAAAAHG7f1Y=")</f>
        <v>#REF!</v>
      </c>
      <c r="CJ2" t="e">
        <f>AND(#REF!,"AAAAAHG7f1c=")</f>
        <v>#REF!</v>
      </c>
      <c r="CK2" t="e">
        <f>AND(#REF!,"AAAAAHG7f1g=")</f>
        <v>#REF!</v>
      </c>
      <c r="CL2" t="e">
        <f>AND(#REF!,"AAAAAHG7f1k=")</f>
        <v>#REF!</v>
      </c>
      <c r="CM2" t="e">
        <f>AND(#REF!,"AAAAAHG7f1o=")</f>
        <v>#REF!</v>
      </c>
      <c r="CN2" t="e">
        <f>AND(#REF!,"AAAAAHG7f1s=")</f>
        <v>#REF!</v>
      </c>
      <c r="CO2" t="e">
        <f>AND(#REF!,"AAAAAHG7f1w=")</f>
        <v>#REF!</v>
      </c>
      <c r="CP2" t="e">
        <f>AND(#REF!,"AAAAAHG7f10=")</f>
        <v>#REF!</v>
      </c>
      <c r="CQ2" t="e">
        <f>AND(#REF!,"AAAAAHG7f14=")</f>
        <v>#REF!</v>
      </c>
      <c r="CR2" t="e">
        <f>AND(#REF!,"AAAAAHG7f18=")</f>
        <v>#REF!</v>
      </c>
      <c r="CS2" t="e">
        <f>AND(#REF!,"AAAAAHG7f2A=")</f>
        <v>#REF!</v>
      </c>
      <c r="CT2" t="e">
        <f>AND(#REF!,"AAAAAHG7f2E=")</f>
        <v>#REF!</v>
      </c>
      <c r="CU2" t="e">
        <f>AND(#REF!,"AAAAAHG7f2I=")</f>
        <v>#REF!</v>
      </c>
      <c r="CV2" t="e">
        <f>AND(#REF!,"AAAAAHG7f2M=")</f>
        <v>#REF!</v>
      </c>
      <c r="CW2" t="e">
        <f>AND(#REF!,"AAAAAHG7f2Q=")</f>
        <v>#REF!</v>
      </c>
      <c r="CX2" t="e">
        <f>AND(#REF!,"AAAAAHG7f2U=")</f>
        <v>#REF!</v>
      </c>
      <c r="CY2" t="e">
        <f>AND(#REF!,"AAAAAHG7f2Y=")</f>
        <v>#REF!</v>
      </c>
      <c r="CZ2" t="e">
        <f>AND(#REF!,"AAAAAHG7f2c=")</f>
        <v>#REF!</v>
      </c>
      <c r="DA2" t="e">
        <f>IF(#REF!,"AAAAAHG7f2g=",0)</f>
        <v>#REF!</v>
      </c>
      <c r="DB2" t="e">
        <f>AND(#REF!,"AAAAAHG7f2k=")</f>
        <v>#REF!</v>
      </c>
      <c r="DC2" t="e">
        <f>AND(#REF!,"AAAAAHG7f2o=")</f>
        <v>#REF!</v>
      </c>
      <c r="DD2" t="e">
        <f>AND(#REF!,"AAAAAHG7f2s=")</f>
        <v>#REF!</v>
      </c>
      <c r="DE2" t="e">
        <f>AND(#REF!,"AAAAAHG7f2w=")</f>
        <v>#REF!</v>
      </c>
      <c r="DF2" t="e">
        <f>AND(#REF!,"AAAAAHG7f20=")</f>
        <v>#REF!</v>
      </c>
      <c r="DG2" t="e">
        <f>AND(#REF!,"AAAAAHG7f24=")</f>
        <v>#REF!</v>
      </c>
      <c r="DH2" t="e">
        <f>AND(#REF!,"AAAAAHG7f28=")</f>
        <v>#REF!</v>
      </c>
      <c r="DI2" t="e">
        <f>AND(#REF!,"AAAAAHG7f3A=")</f>
        <v>#REF!</v>
      </c>
      <c r="DJ2" t="e">
        <f>AND(#REF!,"AAAAAHG7f3E=")</f>
        <v>#REF!</v>
      </c>
      <c r="DK2" t="e">
        <f>AND(#REF!,"AAAAAHG7f3I=")</f>
        <v>#REF!</v>
      </c>
      <c r="DL2" t="e">
        <f>AND(#REF!,"AAAAAHG7f3M=")</f>
        <v>#REF!</v>
      </c>
      <c r="DM2" t="e">
        <f>AND(#REF!,"AAAAAHG7f3Q=")</f>
        <v>#REF!</v>
      </c>
      <c r="DN2" t="e">
        <f>AND(#REF!,"AAAAAHG7f3U=")</f>
        <v>#REF!</v>
      </c>
      <c r="DO2" t="e">
        <f>AND(#REF!,"AAAAAHG7f3Y=")</f>
        <v>#REF!</v>
      </c>
      <c r="DP2" t="e">
        <f>AND(#REF!,"AAAAAHG7f3c=")</f>
        <v>#REF!</v>
      </c>
      <c r="DQ2" t="e">
        <f>AND(#REF!,"AAAAAHG7f3g=")</f>
        <v>#REF!</v>
      </c>
      <c r="DR2" t="e">
        <f>AND(#REF!,"AAAAAHG7f3k=")</f>
        <v>#REF!</v>
      </c>
      <c r="DS2" t="e">
        <f>AND(#REF!,"AAAAAHG7f3o=")</f>
        <v>#REF!</v>
      </c>
      <c r="DT2" t="e">
        <f>AND(#REF!,"AAAAAHG7f3s=")</f>
        <v>#REF!</v>
      </c>
      <c r="DU2" t="e">
        <f>AND(#REF!,"AAAAAHG7f3w=")</f>
        <v>#REF!</v>
      </c>
      <c r="DV2" t="e">
        <f>AND(#REF!,"AAAAAHG7f30=")</f>
        <v>#REF!</v>
      </c>
      <c r="DW2" t="e">
        <f>AND(#REF!,"AAAAAHG7f34=")</f>
        <v>#REF!</v>
      </c>
      <c r="DX2" t="e">
        <f>AND(#REF!,"AAAAAHG7f38=")</f>
        <v>#REF!</v>
      </c>
      <c r="DY2" t="e">
        <f>IF(#REF!,"AAAAAHG7f4A=",0)</f>
        <v>#REF!</v>
      </c>
      <c r="DZ2" t="e">
        <f>AND(#REF!,"AAAAAHG7f4E=")</f>
        <v>#REF!</v>
      </c>
      <c r="EA2" t="e">
        <f>AND(#REF!,"AAAAAHG7f4I=")</f>
        <v>#REF!</v>
      </c>
      <c r="EB2" t="e">
        <f>AND(#REF!,"AAAAAHG7f4M=")</f>
        <v>#REF!</v>
      </c>
      <c r="EC2" t="e">
        <f>AND(#REF!,"AAAAAHG7f4Q=")</f>
        <v>#REF!</v>
      </c>
      <c r="ED2" t="e">
        <f>AND(#REF!,"AAAAAHG7f4U=")</f>
        <v>#REF!</v>
      </c>
      <c r="EE2" t="e">
        <f>AND(#REF!,"AAAAAHG7f4Y=")</f>
        <v>#REF!</v>
      </c>
      <c r="EF2" t="e">
        <f>AND(#REF!,"AAAAAHG7f4c=")</f>
        <v>#REF!</v>
      </c>
      <c r="EG2" t="e">
        <f>AND(#REF!,"AAAAAHG7f4g=")</f>
        <v>#REF!</v>
      </c>
      <c r="EH2" t="e">
        <f>AND(#REF!,"AAAAAHG7f4k=")</f>
        <v>#REF!</v>
      </c>
      <c r="EI2" t="e">
        <f>AND(#REF!,"AAAAAHG7f4o=")</f>
        <v>#REF!</v>
      </c>
      <c r="EJ2" t="e">
        <f>AND(#REF!,"AAAAAHG7f4s=")</f>
        <v>#REF!</v>
      </c>
      <c r="EK2" t="e">
        <f>AND(#REF!,"AAAAAHG7f4w=")</f>
        <v>#REF!</v>
      </c>
      <c r="EL2" t="e">
        <f>AND(#REF!,"AAAAAHG7f40=")</f>
        <v>#REF!</v>
      </c>
      <c r="EM2" t="e">
        <f>AND(#REF!,"AAAAAHG7f44=")</f>
        <v>#REF!</v>
      </c>
      <c r="EN2" t="e">
        <f>AND(#REF!,"AAAAAHG7f48=")</f>
        <v>#REF!</v>
      </c>
      <c r="EO2" t="e">
        <f>AND(#REF!,"AAAAAHG7f5A=")</f>
        <v>#REF!</v>
      </c>
      <c r="EP2" t="e">
        <f>AND(#REF!,"AAAAAHG7f5E=")</f>
        <v>#REF!</v>
      </c>
      <c r="EQ2" t="e">
        <f>AND(#REF!,"AAAAAHG7f5I=")</f>
        <v>#REF!</v>
      </c>
      <c r="ER2" t="e">
        <f>AND(#REF!,"AAAAAHG7f5M=")</f>
        <v>#REF!</v>
      </c>
      <c r="ES2" t="e">
        <f>AND(#REF!,"AAAAAHG7f5Q=")</f>
        <v>#REF!</v>
      </c>
      <c r="ET2" t="e">
        <f>AND(#REF!,"AAAAAHG7f5U=")</f>
        <v>#REF!</v>
      </c>
      <c r="EU2" t="e">
        <f>AND(#REF!,"AAAAAHG7f5Y=")</f>
        <v>#REF!</v>
      </c>
      <c r="EV2" t="e">
        <f>AND(#REF!,"AAAAAHG7f5c=")</f>
        <v>#REF!</v>
      </c>
      <c r="EW2" t="e">
        <f>IF(#REF!,"AAAAAHG7f5g=",0)</f>
        <v>#REF!</v>
      </c>
      <c r="EX2" t="e">
        <f>AND(#REF!,"AAAAAHG7f5k=")</f>
        <v>#REF!</v>
      </c>
      <c r="EY2" t="e">
        <f>AND(#REF!,"AAAAAHG7f5o=")</f>
        <v>#REF!</v>
      </c>
      <c r="EZ2" t="e">
        <f>AND(#REF!,"AAAAAHG7f5s=")</f>
        <v>#REF!</v>
      </c>
      <c r="FA2" t="e">
        <f>AND(#REF!,"AAAAAHG7f5w=")</f>
        <v>#REF!</v>
      </c>
      <c r="FB2" t="e">
        <f>AND(#REF!,"AAAAAHG7f50=")</f>
        <v>#REF!</v>
      </c>
      <c r="FC2" t="e">
        <f>AND(#REF!,"AAAAAHG7f54=")</f>
        <v>#REF!</v>
      </c>
      <c r="FD2" t="e">
        <f>AND(#REF!,"AAAAAHG7f58=")</f>
        <v>#REF!</v>
      </c>
      <c r="FE2" t="e">
        <f>AND(#REF!,"AAAAAHG7f6A=")</f>
        <v>#REF!</v>
      </c>
      <c r="FF2" t="e">
        <f>AND(#REF!,"AAAAAHG7f6E=")</f>
        <v>#REF!</v>
      </c>
      <c r="FG2" t="e">
        <f>AND(#REF!,"AAAAAHG7f6I=")</f>
        <v>#REF!</v>
      </c>
      <c r="FH2" t="e">
        <f>AND(#REF!,"AAAAAHG7f6M=")</f>
        <v>#REF!</v>
      </c>
      <c r="FI2" t="e">
        <f>AND(#REF!,"AAAAAHG7f6Q=")</f>
        <v>#REF!</v>
      </c>
      <c r="FJ2" t="e">
        <f>AND(#REF!,"AAAAAHG7f6U=")</f>
        <v>#REF!</v>
      </c>
      <c r="FK2" t="e">
        <f>AND(#REF!,"AAAAAHG7f6Y=")</f>
        <v>#REF!</v>
      </c>
      <c r="FL2" t="e">
        <f>AND(#REF!,"AAAAAHG7f6c=")</f>
        <v>#REF!</v>
      </c>
      <c r="FM2" t="e">
        <f>AND(#REF!,"AAAAAHG7f6g=")</f>
        <v>#REF!</v>
      </c>
      <c r="FN2" t="e">
        <f>AND(#REF!,"AAAAAHG7f6k=")</f>
        <v>#REF!</v>
      </c>
      <c r="FO2" t="e">
        <f>AND(#REF!,"AAAAAHG7f6o=")</f>
        <v>#REF!</v>
      </c>
      <c r="FP2" t="e">
        <f>AND(#REF!,"AAAAAHG7f6s=")</f>
        <v>#REF!</v>
      </c>
      <c r="FQ2" t="e">
        <f>AND(#REF!,"AAAAAHG7f6w=")</f>
        <v>#REF!</v>
      </c>
      <c r="FR2" t="e">
        <f>AND(#REF!,"AAAAAHG7f60=")</f>
        <v>#REF!</v>
      </c>
      <c r="FS2" t="e">
        <f>AND(#REF!,"AAAAAHG7f64=")</f>
        <v>#REF!</v>
      </c>
      <c r="FT2" t="e">
        <f>AND(#REF!,"AAAAAHG7f68=")</f>
        <v>#REF!</v>
      </c>
      <c r="FU2" t="e">
        <f>IF(#REF!,"AAAAAHG7f7A=",0)</f>
        <v>#REF!</v>
      </c>
      <c r="FV2" t="e">
        <f>AND(#REF!,"AAAAAHG7f7E=")</f>
        <v>#REF!</v>
      </c>
      <c r="FW2" t="e">
        <f>AND(#REF!,"AAAAAHG7f7I=")</f>
        <v>#REF!</v>
      </c>
      <c r="FX2" t="e">
        <f>AND(#REF!,"AAAAAHG7f7M=")</f>
        <v>#REF!</v>
      </c>
      <c r="FY2" t="e">
        <f>AND(#REF!,"AAAAAHG7f7Q=")</f>
        <v>#REF!</v>
      </c>
      <c r="FZ2" t="e">
        <f>AND(#REF!,"AAAAAHG7f7U=")</f>
        <v>#REF!</v>
      </c>
      <c r="GA2" t="e">
        <f>AND(#REF!,"AAAAAHG7f7Y=")</f>
        <v>#REF!</v>
      </c>
      <c r="GB2" t="e">
        <f>AND(#REF!,"AAAAAHG7f7c=")</f>
        <v>#REF!</v>
      </c>
      <c r="GC2" t="e">
        <f>AND(#REF!,"AAAAAHG7f7g=")</f>
        <v>#REF!</v>
      </c>
      <c r="GD2" t="e">
        <f>AND(#REF!,"AAAAAHG7f7k=")</f>
        <v>#REF!</v>
      </c>
      <c r="GE2" t="e">
        <f>AND(#REF!,"AAAAAHG7f7o=")</f>
        <v>#REF!</v>
      </c>
      <c r="GF2" t="e">
        <f>AND(#REF!,"AAAAAHG7f7s=")</f>
        <v>#REF!</v>
      </c>
      <c r="GG2" t="e">
        <f>AND(#REF!,"AAAAAHG7f7w=")</f>
        <v>#REF!</v>
      </c>
      <c r="GH2" t="e">
        <f>AND(#REF!,"AAAAAHG7f70=")</f>
        <v>#REF!</v>
      </c>
      <c r="GI2" t="e">
        <f>AND(#REF!,"AAAAAHG7f74=")</f>
        <v>#REF!</v>
      </c>
      <c r="GJ2" t="e">
        <f>AND(#REF!,"AAAAAHG7f78=")</f>
        <v>#REF!</v>
      </c>
      <c r="GK2" t="e">
        <f>AND(#REF!,"AAAAAHG7f8A=")</f>
        <v>#REF!</v>
      </c>
      <c r="GL2" t="e">
        <f>AND(#REF!,"AAAAAHG7f8E=")</f>
        <v>#REF!</v>
      </c>
      <c r="GM2" t="e">
        <f>AND(#REF!,"AAAAAHG7f8I=")</f>
        <v>#REF!</v>
      </c>
      <c r="GN2" t="e">
        <f>AND(#REF!,"AAAAAHG7f8M=")</f>
        <v>#REF!</v>
      </c>
      <c r="GO2" t="e">
        <f>AND(#REF!,"AAAAAHG7f8Q=")</f>
        <v>#REF!</v>
      </c>
      <c r="GP2" t="e">
        <f>AND(#REF!,"AAAAAHG7f8U=")</f>
        <v>#REF!</v>
      </c>
      <c r="GQ2" t="e">
        <f>AND(#REF!,"AAAAAHG7f8Y=")</f>
        <v>#REF!</v>
      </c>
      <c r="GR2" t="e">
        <f>AND(#REF!,"AAAAAHG7f8c=")</f>
        <v>#REF!</v>
      </c>
      <c r="GS2" t="e">
        <f>IF(#REF!,"AAAAAHG7f8g=",0)</f>
        <v>#REF!</v>
      </c>
      <c r="GT2" t="e">
        <f>AND(#REF!,"AAAAAHG7f8k=")</f>
        <v>#REF!</v>
      </c>
      <c r="GU2" t="e">
        <f>AND(#REF!,"AAAAAHG7f8o=")</f>
        <v>#REF!</v>
      </c>
      <c r="GV2" t="e">
        <f>AND(#REF!,"AAAAAHG7f8s=")</f>
        <v>#REF!</v>
      </c>
      <c r="GW2" t="e">
        <f>AND(#REF!,"AAAAAHG7f8w=")</f>
        <v>#REF!</v>
      </c>
      <c r="GX2" t="e">
        <f>AND(#REF!,"AAAAAHG7f80=")</f>
        <v>#REF!</v>
      </c>
      <c r="GY2" t="e">
        <f>AND(#REF!,"AAAAAHG7f84=")</f>
        <v>#REF!</v>
      </c>
      <c r="GZ2" t="e">
        <f>AND(#REF!,"AAAAAHG7f88=")</f>
        <v>#REF!</v>
      </c>
      <c r="HA2" t="e">
        <f>AND(#REF!,"AAAAAHG7f9A=")</f>
        <v>#REF!</v>
      </c>
      <c r="HB2" t="e">
        <f>AND(#REF!,"AAAAAHG7f9E=")</f>
        <v>#REF!</v>
      </c>
      <c r="HC2" t="e">
        <f>AND(#REF!,"AAAAAHG7f9I=")</f>
        <v>#REF!</v>
      </c>
      <c r="HD2" t="e">
        <f>AND(#REF!,"AAAAAHG7f9M=")</f>
        <v>#REF!</v>
      </c>
      <c r="HE2" t="e">
        <f>AND(#REF!,"AAAAAHG7f9Q=")</f>
        <v>#REF!</v>
      </c>
      <c r="HF2" t="e">
        <f>AND(#REF!,"AAAAAHG7f9U=")</f>
        <v>#REF!</v>
      </c>
      <c r="HG2" t="e">
        <f>AND(#REF!,"AAAAAHG7f9Y=")</f>
        <v>#REF!</v>
      </c>
      <c r="HH2" t="e">
        <f>AND(#REF!,"AAAAAHG7f9c=")</f>
        <v>#REF!</v>
      </c>
      <c r="HI2" t="e">
        <f>AND(#REF!,"AAAAAHG7f9g=")</f>
        <v>#REF!</v>
      </c>
      <c r="HJ2" t="e">
        <f>AND(#REF!,"AAAAAHG7f9k=")</f>
        <v>#REF!</v>
      </c>
      <c r="HK2" t="e">
        <f>AND(#REF!,"AAAAAHG7f9o=")</f>
        <v>#REF!</v>
      </c>
      <c r="HL2" t="e">
        <f>AND(#REF!,"AAAAAHG7f9s=")</f>
        <v>#REF!</v>
      </c>
      <c r="HM2" t="e">
        <f>AND(#REF!,"AAAAAHG7f9w=")</f>
        <v>#REF!</v>
      </c>
      <c r="HN2" t="e">
        <f>AND(#REF!,"AAAAAHG7f90=")</f>
        <v>#REF!</v>
      </c>
      <c r="HO2" t="e">
        <f>AND(#REF!,"AAAAAHG7f94=")</f>
        <v>#REF!</v>
      </c>
      <c r="HP2" t="e">
        <f>AND(#REF!,"AAAAAHG7f98=")</f>
        <v>#REF!</v>
      </c>
      <c r="HQ2" t="e">
        <f>IF(#REF!,"AAAAAHG7f+A=",0)</f>
        <v>#REF!</v>
      </c>
      <c r="HR2" t="e">
        <f>AND(#REF!,"AAAAAHG7f+E=")</f>
        <v>#REF!</v>
      </c>
      <c r="HS2" t="e">
        <f>AND(#REF!,"AAAAAHG7f+I=")</f>
        <v>#REF!</v>
      </c>
      <c r="HT2" t="e">
        <f>AND(#REF!,"AAAAAHG7f+M=")</f>
        <v>#REF!</v>
      </c>
      <c r="HU2" t="e">
        <f>AND(#REF!,"AAAAAHG7f+Q=")</f>
        <v>#REF!</v>
      </c>
      <c r="HV2" t="e">
        <f>AND(#REF!,"AAAAAHG7f+U=")</f>
        <v>#REF!</v>
      </c>
      <c r="HW2" t="e">
        <f>AND(#REF!,"AAAAAHG7f+Y=")</f>
        <v>#REF!</v>
      </c>
      <c r="HX2" t="e">
        <f>AND(#REF!,"AAAAAHG7f+c=")</f>
        <v>#REF!</v>
      </c>
      <c r="HY2" t="e">
        <f>AND(#REF!,"AAAAAHG7f+g=")</f>
        <v>#REF!</v>
      </c>
      <c r="HZ2" t="e">
        <f>AND(#REF!,"AAAAAHG7f+k=")</f>
        <v>#REF!</v>
      </c>
      <c r="IA2" t="e">
        <f>AND(#REF!,"AAAAAHG7f+o=")</f>
        <v>#REF!</v>
      </c>
      <c r="IB2" t="e">
        <f>AND(#REF!,"AAAAAHG7f+s=")</f>
        <v>#REF!</v>
      </c>
      <c r="IC2" t="e">
        <f>AND(#REF!,"AAAAAHG7f+w=")</f>
        <v>#REF!</v>
      </c>
      <c r="ID2" t="e">
        <f>AND(#REF!,"AAAAAHG7f+0=")</f>
        <v>#REF!</v>
      </c>
      <c r="IE2" t="e">
        <f>AND(#REF!,"AAAAAHG7f+4=")</f>
        <v>#REF!</v>
      </c>
      <c r="IF2" t="e">
        <f>AND(#REF!,"AAAAAHG7f+8=")</f>
        <v>#REF!</v>
      </c>
      <c r="IG2" t="e">
        <f>AND(#REF!,"AAAAAHG7f/A=")</f>
        <v>#REF!</v>
      </c>
      <c r="IH2" t="e">
        <f>AND(#REF!,"AAAAAHG7f/E=")</f>
        <v>#REF!</v>
      </c>
      <c r="II2" t="e">
        <f>AND(#REF!,"AAAAAHG7f/I=")</f>
        <v>#REF!</v>
      </c>
      <c r="IJ2" t="e">
        <f>AND(#REF!,"AAAAAHG7f/M=")</f>
        <v>#REF!</v>
      </c>
      <c r="IK2" t="e">
        <f>AND(#REF!,"AAAAAHG7f/Q=")</f>
        <v>#REF!</v>
      </c>
      <c r="IL2" t="e">
        <f>AND(#REF!,"AAAAAHG7f/U=")</f>
        <v>#REF!</v>
      </c>
      <c r="IM2" t="e">
        <f>AND(#REF!,"AAAAAHG7f/Y=")</f>
        <v>#REF!</v>
      </c>
      <c r="IN2" t="e">
        <f>AND(#REF!,"AAAAAHG7f/c=")</f>
        <v>#REF!</v>
      </c>
      <c r="IO2" t="e">
        <f>IF(#REF!,"AAAAAHG7f/g=",0)</f>
        <v>#REF!</v>
      </c>
      <c r="IP2" t="e">
        <f>AND(#REF!,"AAAAAHG7f/k=")</f>
        <v>#REF!</v>
      </c>
      <c r="IQ2" t="e">
        <f>AND(#REF!,"AAAAAHG7f/o=")</f>
        <v>#REF!</v>
      </c>
      <c r="IR2" t="e">
        <f>AND(#REF!,"AAAAAHG7f/s=")</f>
        <v>#REF!</v>
      </c>
      <c r="IS2" t="e">
        <f>AND(#REF!,"AAAAAHG7f/w=")</f>
        <v>#REF!</v>
      </c>
      <c r="IT2" t="e">
        <f>AND(#REF!,"AAAAAHG7f/0=")</f>
        <v>#REF!</v>
      </c>
      <c r="IU2" t="e">
        <f>AND(#REF!,"AAAAAHG7f/4=")</f>
        <v>#REF!</v>
      </c>
      <c r="IV2" t="e">
        <f>AND(#REF!,"AAAAAHG7f/8=")</f>
        <v>#REF!</v>
      </c>
    </row>
    <row r="3" spans="1:256" x14ac:dyDescent="0.25">
      <c r="A3" t="e">
        <f>AND(#REF!,"AAAAAHd86wA=")</f>
        <v>#REF!</v>
      </c>
      <c r="B3" t="e">
        <f>AND(#REF!,"AAAAAHd86wE=")</f>
        <v>#REF!</v>
      </c>
      <c r="C3" t="e">
        <f>AND(#REF!,"AAAAAHd86wI=")</f>
        <v>#REF!</v>
      </c>
      <c r="D3" t="e">
        <f>AND(#REF!,"AAAAAHd86wM=")</f>
        <v>#REF!</v>
      </c>
      <c r="E3" t="e">
        <f>AND(#REF!,"AAAAAHd86wQ=")</f>
        <v>#REF!</v>
      </c>
      <c r="F3" t="e">
        <f>AND(#REF!,"AAAAAHd86wU=")</f>
        <v>#REF!</v>
      </c>
      <c r="G3" t="e">
        <f>AND(#REF!,"AAAAAHd86wY=")</f>
        <v>#REF!</v>
      </c>
      <c r="H3" t="e">
        <f>AND(#REF!,"AAAAAHd86wc=")</f>
        <v>#REF!</v>
      </c>
      <c r="I3" t="e">
        <f>AND(#REF!,"AAAAAHd86wg=")</f>
        <v>#REF!</v>
      </c>
      <c r="J3" t="e">
        <f>AND(#REF!,"AAAAAHd86wk=")</f>
        <v>#REF!</v>
      </c>
      <c r="K3" t="e">
        <f>AND(#REF!,"AAAAAHd86wo=")</f>
        <v>#REF!</v>
      </c>
      <c r="L3" t="e">
        <f>AND(#REF!,"AAAAAHd86ws=")</f>
        <v>#REF!</v>
      </c>
      <c r="M3" t="e">
        <f>AND(#REF!,"AAAAAHd86ww=")</f>
        <v>#REF!</v>
      </c>
      <c r="N3" t="e">
        <f>AND(#REF!,"AAAAAHd86w0=")</f>
        <v>#REF!</v>
      </c>
      <c r="O3" t="e">
        <f>AND(#REF!,"AAAAAHd86w4=")</f>
        <v>#REF!</v>
      </c>
      <c r="P3" t="e">
        <f>AND(#REF!,"AAAAAHd86w8=")</f>
        <v>#REF!</v>
      </c>
      <c r="Q3" t="e">
        <f>IF(#REF!,"AAAAAHd86xA=",0)</f>
        <v>#REF!</v>
      </c>
      <c r="R3" t="e">
        <f>AND(#REF!,"AAAAAHd86xE=")</f>
        <v>#REF!</v>
      </c>
      <c r="S3" t="e">
        <f>AND(#REF!,"AAAAAHd86xI=")</f>
        <v>#REF!</v>
      </c>
      <c r="T3" t="e">
        <f>AND(#REF!,"AAAAAHd86xM=")</f>
        <v>#REF!</v>
      </c>
      <c r="U3" t="e">
        <f>AND(#REF!,"AAAAAHd86xQ=")</f>
        <v>#REF!</v>
      </c>
      <c r="V3" t="e">
        <f>AND(#REF!,"AAAAAHd86xU=")</f>
        <v>#REF!</v>
      </c>
      <c r="W3" t="e">
        <f>AND(#REF!,"AAAAAHd86xY=")</f>
        <v>#REF!</v>
      </c>
      <c r="X3" t="e">
        <f>AND(#REF!,"AAAAAHd86xc=")</f>
        <v>#REF!</v>
      </c>
      <c r="Y3" t="e">
        <f>AND(#REF!,"AAAAAHd86xg=")</f>
        <v>#REF!</v>
      </c>
      <c r="Z3" t="e">
        <f>AND(#REF!,"AAAAAHd86xk=")</f>
        <v>#REF!</v>
      </c>
      <c r="AA3" t="e">
        <f>AND(#REF!,"AAAAAHd86xo=")</f>
        <v>#REF!</v>
      </c>
      <c r="AB3" t="e">
        <f>AND(#REF!,"AAAAAHd86xs=")</f>
        <v>#REF!</v>
      </c>
      <c r="AC3" t="e">
        <f>AND(#REF!,"AAAAAHd86xw=")</f>
        <v>#REF!</v>
      </c>
      <c r="AD3" t="e">
        <f>AND(#REF!,"AAAAAHd86x0=")</f>
        <v>#REF!</v>
      </c>
      <c r="AE3" t="e">
        <f>AND(#REF!,"AAAAAHd86x4=")</f>
        <v>#REF!</v>
      </c>
      <c r="AF3" t="e">
        <f>AND(#REF!,"AAAAAHd86x8=")</f>
        <v>#REF!</v>
      </c>
      <c r="AG3" t="e">
        <f>AND(#REF!,"AAAAAHd86yA=")</f>
        <v>#REF!</v>
      </c>
      <c r="AH3" t="e">
        <f>AND(#REF!,"AAAAAHd86yE=")</f>
        <v>#REF!</v>
      </c>
      <c r="AI3" t="e">
        <f>AND(#REF!,"AAAAAHd86yI=")</f>
        <v>#REF!</v>
      </c>
      <c r="AJ3" t="e">
        <f>AND(#REF!,"AAAAAHd86yM=")</f>
        <v>#REF!</v>
      </c>
      <c r="AK3" t="e">
        <f>AND(#REF!,"AAAAAHd86yQ=")</f>
        <v>#REF!</v>
      </c>
      <c r="AL3" t="e">
        <f>AND(#REF!,"AAAAAHd86yU=")</f>
        <v>#REF!</v>
      </c>
      <c r="AM3" t="e">
        <f>AND(#REF!,"AAAAAHd86yY=")</f>
        <v>#REF!</v>
      </c>
      <c r="AN3" t="e">
        <f>AND(#REF!,"AAAAAHd86yc=")</f>
        <v>#REF!</v>
      </c>
      <c r="AO3" t="e">
        <f>IF(#REF!,"AAAAAHd86yg=",0)</f>
        <v>#REF!</v>
      </c>
      <c r="AP3" t="e">
        <f>AND(#REF!,"AAAAAHd86yk=")</f>
        <v>#REF!</v>
      </c>
      <c r="AQ3" t="e">
        <f>AND(#REF!,"AAAAAHd86yo=")</f>
        <v>#REF!</v>
      </c>
      <c r="AR3" t="e">
        <f>AND(#REF!,"AAAAAHd86ys=")</f>
        <v>#REF!</v>
      </c>
      <c r="AS3" t="e">
        <f>AND(#REF!,"AAAAAHd86yw=")</f>
        <v>#REF!</v>
      </c>
      <c r="AT3" t="e">
        <f>AND(#REF!,"AAAAAHd86y0=")</f>
        <v>#REF!</v>
      </c>
      <c r="AU3" t="e">
        <f>AND(#REF!,"AAAAAHd86y4=")</f>
        <v>#REF!</v>
      </c>
      <c r="AV3" t="e">
        <f>AND(#REF!,"AAAAAHd86y8=")</f>
        <v>#REF!</v>
      </c>
      <c r="AW3" t="e">
        <f>AND(#REF!,"AAAAAHd86zA=")</f>
        <v>#REF!</v>
      </c>
      <c r="AX3" t="e">
        <f>AND(#REF!,"AAAAAHd86zE=")</f>
        <v>#REF!</v>
      </c>
      <c r="AY3" t="e">
        <f>AND(#REF!,"AAAAAHd86zI=")</f>
        <v>#REF!</v>
      </c>
      <c r="AZ3" t="e">
        <f>AND(#REF!,"AAAAAHd86zM=")</f>
        <v>#REF!</v>
      </c>
      <c r="BA3" t="e">
        <f>AND(#REF!,"AAAAAHd86zQ=")</f>
        <v>#REF!</v>
      </c>
      <c r="BB3" t="e">
        <f>AND(#REF!,"AAAAAHd86zU=")</f>
        <v>#REF!</v>
      </c>
      <c r="BC3" t="e">
        <f>AND(#REF!,"AAAAAHd86zY=")</f>
        <v>#REF!</v>
      </c>
      <c r="BD3" t="e">
        <f>AND(#REF!,"AAAAAHd86zc=")</f>
        <v>#REF!</v>
      </c>
      <c r="BE3" t="e">
        <f>AND(#REF!,"AAAAAHd86zg=")</f>
        <v>#REF!</v>
      </c>
      <c r="BF3" t="e">
        <f>AND(#REF!,"AAAAAHd86zk=")</f>
        <v>#REF!</v>
      </c>
      <c r="BG3" t="e">
        <f>AND(#REF!,"AAAAAHd86zo=")</f>
        <v>#REF!</v>
      </c>
      <c r="BH3" t="e">
        <f>AND(#REF!,"AAAAAHd86zs=")</f>
        <v>#REF!</v>
      </c>
      <c r="BI3" t="e">
        <f>AND(#REF!,"AAAAAHd86zw=")</f>
        <v>#REF!</v>
      </c>
      <c r="BJ3" t="e">
        <f>AND(#REF!,"AAAAAHd86z0=")</f>
        <v>#REF!</v>
      </c>
      <c r="BK3" t="e">
        <f>AND(#REF!,"AAAAAHd86z4=")</f>
        <v>#REF!</v>
      </c>
      <c r="BL3" t="e">
        <f>AND(#REF!,"AAAAAHd86z8=")</f>
        <v>#REF!</v>
      </c>
      <c r="BM3" t="e">
        <f>IF(#REF!,"AAAAAHd860A=",0)</f>
        <v>#REF!</v>
      </c>
      <c r="BN3" t="e">
        <f>AND(#REF!,"AAAAAHd860E=")</f>
        <v>#REF!</v>
      </c>
      <c r="BO3" t="e">
        <f>AND(#REF!,"AAAAAHd860I=")</f>
        <v>#REF!</v>
      </c>
      <c r="BP3" t="e">
        <f>AND(#REF!,"AAAAAHd860M=")</f>
        <v>#REF!</v>
      </c>
      <c r="BQ3" t="e">
        <f>AND(#REF!,"AAAAAHd860Q=")</f>
        <v>#REF!</v>
      </c>
      <c r="BR3" t="e">
        <f>AND(#REF!,"AAAAAHd860U=")</f>
        <v>#REF!</v>
      </c>
      <c r="BS3" t="e">
        <f>AND(#REF!,"AAAAAHd860Y=")</f>
        <v>#REF!</v>
      </c>
      <c r="BT3" t="e">
        <f>AND(#REF!,"AAAAAHd860c=")</f>
        <v>#REF!</v>
      </c>
      <c r="BU3" t="e">
        <f>AND(#REF!,"AAAAAHd860g=")</f>
        <v>#REF!</v>
      </c>
      <c r="BV3" t="e">
        <f>AND(#REF!,"AAAAAHd860k=")</f>
        <v>#REF!</v>
      </c>
      <c r="BW3" t="e">
        <f>AND(#REF!,"AAAAAHd860o=")</f>
        <v>#REF!</v>
      </c>
      <c r="BX3" t="e">
        <f>AND(#REF!,"AAAAAHd860s=")</f>
        <v>#REF!</v>
      </c>
      <c r="BY3" t="e">
        <f>AND(#REF!,"AAAAAHd860w=")</f>
        <v>#REF!</v>
      </c>
      <c r="BZ3" t="e">
        <f>AND(#REF!,"AAAAAHd8600=")</f>
        <v>#REF!</v>
      </c>
      <c r="CA3" t="e">
        <f>AND(#REF!,"AAAAAHd8604=")</f>
        <v>#REF!</v>
      </c>
      <c r="CB3" t="e">
        <f>AND(#REF!,"AAAAAHd8608=")</f>
        <v>#REF!</v>
      </c>
      <c r="CC3" t="e">
        <f>AND(#REF!,"AAAAAHd861A=")</f>
        <v>#REF!</v>
      </c>
      <c r="CD3" t="e">
        <f>AND(#REF!,"AAAAAHd861E=")</f>
        <v>#REF!</v>
      </c>
      <c r="CE3" t="e">
        <f>AND(#REF!,"AAAAAHd861I=")</f>
        <v>#REF!</v>
      </c>
      <c r="CF3" t="e">
        <f>AND(#REF!,"AAAAAHd861M=")</f>
        <v>#REF!</v>
      </c>
      <c r="CG3" t="e">
        <f>AND(#REF!,"AAAAAHd861Q=")</f>
        <v>#REF!</v>
      </c>
      <c r="CH3" t="e">
        <f>AND(#REF!,"AAAAAHd861U=")</f>
        <v>#REF!</v>
      </c>
      <c r="CI3" t="e">
        <f>AND(#REF!,"AAAAAHd861Y=")</f>
        <v>#REF!</v>
      </c>
      <c r="CJ3" t="e">
        <f>AND(#REF!,"AAAAAHd861c=")</f>
        <v>#REF!</v>
      </c>
      <c r="CK3" t="e">
        <f>IF(#REF!,"AAAAAHd861g=",0)</f>
        <v>#REF!</v>
      </c>
      <c r="CL3" t="e">
        <f>AND(#REF!,"AAAAAHd861k=")</f>
        <v>#REF!</v>
      </c>
      <c r="CM3" t="e">
        <f>AND(#REF!,"AAAAAHd861o=")</f>
        <v>#REF!</v>
      </c>
      <c r="CN3" t="e">
        <f>AND(#REF!,"AAAAAHd861s=")</f>
        <v>#REF!</v>
      </c>
      <c r="CO3" t="e">
        <f>AND(#REF!,"AAAAAHd861w=")</f>
        <v>#REF!</v>
      </c>
      <c r="CP3" t="e">
        <f>AND(#REF!,"AAAAAHd8610=")</f>
        <v>#REF!</v>
      </c>
      <c r="CQ3" t="e">
        <f>AND(#REF!,"AAAAAHd8614=")</f>
        <v>#REF!</v>
      </c>
      <c r="CR3" t="e">
        <f>AND(#REF!,"AAAAAHd8618=")</f>
        <v>#REF!</v>
      </c>
      <c r="CS3" t="e">
        <f>AND(#REF!,"AAAAAHd862A=")</f>
        <v>#REF!</v>
      </c>
      <c r="CT3" t="e">
        <f>AND(#REF!,"AAAAAHd862E=")</f>
        <v>#REF!</v>
      </c>
      <c r="CU3" t="e">
        <f>AND(#REF!,"AAAAAHd862I=")</f>
        <v>#REF!</v>
      </c>
      <c r="CV3" t="e">
        <f>AND(#REF!,"AAAAAHd862M=")</f>
        <v>#REF!</v>
      </c>
      <c r="CW3" t="e">
        <f>AND(#REF!,"AAAAAHd862Q=")</f>
        <v>#REF!</v>
      </c>
      <c r="CX3" t="e">
        <f>AND(#REF!,"AAAAAHd862U=")</f>
        <v>#REF!</v>
      </c>
      <c r="CY3" t="e">
        <f>AND(#REF!,"AAAAAHd862Y=")</f>
        <v>#REF!</v>
      </c>
      <c r="CZ3" t="e">
        <f>AND(#REF!,"AAAAAHd862c=")</f>
        <v>#REF!</v>
      </c>
      <c r="DA3" t="e">
        <f>AND(#REF!,"AAAAAHd862g=")</f>
        <v>#REF!</v>
      </c>
      <c r="DB3" t="e">
        <f>AND(#REF!,"AAAAAHd862k=")</f>
        <v>#REF!</v>
      </c>
      <c r="DC3" t="e">
        <f>AND(#REF!,"AAAAAHd862o=")</f>
        <v>#REF!</v>
      </c>
      <c r="DD3" t="e">
        <f>AND(#REF!,"AAAAAHd862s=")</f>
        <v>#REF!</v>
      </c>
      <c r="DE3" t="e">
        <f>AND(#REF!,"AAAAAHd862w=")</f>
        <v>#REF!</v>
      </c>
      <c r="DF3" t="e">
        <f>AND(#REF!,"AAAAAHd8620=")</f>
        <v>#REF!</v>
      </c>
      <c r="DG3" t="e">
        <f>AND(#REF!,"AAAAAHd8624=")</f>
        <v>#REF!</v>
      </c>
      <c r="DH3" t="e">
        <f>AND(#REF!,"AAAAAHd8628=")</f>
        <v>#REF!</v>
      </c>
      <c r="DI3" t="e">
        <f>IF(#REF!,"AAAAAHd863A=",0)</f>
        <v>#REF!</v>
      </c>
      <c r="DJ3" t="e">
        <f>AND(#REF!,"AAAAAHd863E=")</f>
        <v>#REF!</v>
      </c>
      <c r="DK3" t="e">
        <f>AND(#REF!,"AAAAAHd863I=")</f>
        <v>#REF!</v>
      </c>
      <c r="DL3" t="e">
        <f>AND(#REF!,"AAAAAHd863M=")</f>
        <v>#REF!</v>
      </c>
      <c r="DM3" t="e">
        <f>AND(#REF!,"AAAAAHd863Q=")</f>
        <v>#REF!</v>
      </c>
      <c r="DN3" t="e">
        <f>AND(#REF!,"AAAAAHd863U=")</f>
        <v>#REF!</v>
      </c>
      <c r="DO3" t="e">
        <f>AND(#REF!,"AAAAAHd863Y=")</f>
        <v>#REF!</v>
      </c>
      <c r="DP3" t="e">
        <f>AND(#REF!,"AAAAAHd863c=")</f>
        <v>#REF!</v>
      </c>
      <c r="DQ3" t="e">
        <f>AND(#REF!,"AAAAAHd863g=")</f>
        <v>#REF!</v>
      </c>
      <c r="DR3" t="e">
        <f>AND(#REF!,"AAAAAHd863k=")</f>
        <v>#REF!</v>
      </c>
      <c r="DS3" t="e">
        <f>AND(#REF!,"AAAAAHd863o=")</f>
        <v>#REF!</v>
      </c>
      <c r="DT3" t="e">
        <f>AND(#REF!,"AAAAAHd863s=")</f>
        <v>#REF!</v>
      </c>
      <c r="DU3" t="e">
        <f>AND(#REF!,"AAAAAHd863w=")</f>
        <v>#REF!</v>
      </c>
      <c r="DV3" t="e">
        <f>AND(#REF!,"AAAAAHd8630=")</f>
        <v>#REF!</v>
      </c>
      <c r="DW3" t="e">
        <f>AND(#REF!,"AAAAAHd8634=")</f>
        <v>#REF!</v>
      </c>
      <c r="DX3" t="e">
        <f>AND(#REF!,"AAAAAHd8638=")</f>
        <v>#REF!</v>
      </c>
      <c r="DY3" t="e">
        <f>AND(#REF!,"AAAAAHd864A=")</f>
        <v>#REF!</v>
      </c>
      <c r="DZ3" t="e">
        <f>AND(#REF!,"AAAAAHd864E=")</f>
        <v>#REF!</v>
      </c>
      <c r="EA3" t="e">
        <f>AND(#REF!,"AAAAAHd864I=")</f>
        <v>#REF!</v>
      </c>
      <c r="EB3" t="e">
        <f>AND(#REF!,"AAAAAHd864M=")</f>
        <v>#REF!</v>
      </c>
      <c r="EC3" t="e">
        <f>AND(#REF!,"AAAAAHd864Q=")</f>
        <v>#REF!</v>
      </c>
      <c r="ED3" t="e">
        <f>AND(#REF!,"AAAAAHd864U=")</f>
        <v>#REF!</v>
      </c>
      <c r="EE3" t="e">
        <f>AND(#REF!,"AAAAAHd864Y=")</f>
        <v>#REF!</v>
      </c>
      <c r="EF3" t="e">
        <f>AND(#REF!,"AAAAAHd864c=")</f>
        <v>#REF!</v>
      </c>
      <c r="EG3" t="e">
        <f>IF(#REF!,"AAAAAHd864g=",0)</f>
        <v>#REF!</v>
      </c>
      <c r="EH3" t="e">
        <f>AND(#REF!,"AAAAAHd864k=")</f>
        <v>#REF!</v>
      </c>
      <c r="EI3" t="e">
        <f>AND(#REF!,"AAAAAHd864o=")</f>
        <v>#REF!</v>
      </c>
      <c r="EJ3" t="e">
        <f>AND(#REF!,"AAAAAHd864s=")</f>
        <v>#REF!</v>
      </c>
      <c r="EK3" t="e">
        <f>AND(#REF!,"AAAAAHd864w=")</f>
        <v>#REF!</v>
      </c>
      <c r="EL3" t="e">
        <f>AND(#REF!,"AAAAAHd8640=")</f>
        <v>#REF!</v>
      </c>
      <c r="EM3" t="e">
        <f>AND(#REF!,"AAAAAHd8644=")</f>
        <v>#REF!</v>
      </c>
      <c r="EN3" t="e">
        <f>AND(#REF!,"AAAAAHd8648=")</f>
        <v>#REF!</v>
      </c>
      <c r="EO3" t="e">
        <f>AND(#REF!,"AAAAAHd865A=")</f>
        <v>#REF!</v>
      </c>
      <c r="EP3" t="e">
        <f>AND(#REF!,"AAAAAHd865E=")</f>
        <v>#REF!</v>
      </c>
      <c r="EQ3" t="e">
        <f>AND(#REF!,"AAAAAHd865I=")</f>
        <v>#REF!</v>
      </c>
      <c r="ER3" t="e">
        <f>AND(#REF!,"AAAAAHd865M=")</f>
        <v>#REF!</v>
      </c>
      <c r="ES3" t="e">
        <f>AND(#REF!,"AAAAAHd865Q=")</f>
        <v>#REF!</v>
      </c>
      <c r="ET3" t="e">
        <f>AND(#REF!,"AAAAAHd865U=")</f>
        <v>#REF!</v>
      </c>
      <c r="EU3" t="e">
        <f>AND(#REF!,"AAAAAHd865Y=")</f>
        <v>#REF!</v>
      </c>
      <c r="EV3" t="e">
        <f>AND(#REF!,"AAAAAHd865c=")</f>
        <v>#REF!</v>
      </c>
      <c r="EW3" t="e">
        <f>AND(#REF!,"AAAAAHd865g=")</f>
        <v>#REF!</v>
      </c>
      <c r="EX3" t="e">
        <f>AND(#REF!,"AAAAAHd865k=")</f>
        <v>#REF!</v>
      </c>
      <c r="EY3" t="e">
        <f>AND(#REF!,"AAAAAHd865o=")</f>
        <v>#REF!</v>
      </c>
      <c r="EZ3" t="e">
        <f>AND(#REF!,"AAAAAHd865s=")</f>
        <v>#REF!</v>
      </c>
      <c r="FA3" t="e">
        <f>AND(#REF!,"AAAAAHd865w=")</f>
        <v>#REF!</v>
      </c>
      <c r="FB3" t="e">
        <f>AND(#REF!,"AAAAAHd8650=")</f>
        <v>#REF!</v>
      </c>
      <c r="FC3" t="e">
        <f>AND(#REF!,"AAAAAHd8654=")</f>
        <v>#REF!</v>
      </c>
      <c r="FD3" t="e">
        <f>AND(#REF!,"AAAAAHd8658=")</f>
        <v>#REF!</v>
      </c>
      <c r="FE3" t="e">
        <f>IF(#REF!,"AAAAAHd866A=",0)</f>
        <v>#REF!</v>
      </c>
      <c r="FF3" t="e">
        <f>AND(#REF!,"AAAAAHd866E=")</f>
        <v>#REF!</v>
      </c>
      <c r="FG3" t="e">
        <f>AND(#REF!,"AAAAAHd866I=")</f>
        <v>#REF!</v>
      </c>
      <c r="FH3" t="e">
        <f>AND(#REF!,"AAAAAHd866M=")</f>
        <v>#REF!</v>
      </c>
      <c r="FI3" t="e">
        <f>AND(#REF!,"AAAAAHd866Q=")</f>
        <v>#REF!</v>
      </c>
      <c r="FJ3" t="e">
        <f>AND(#REF!,"AAAAAHd866U=")</f>
        <v>#REF!</v>
      </c>
      <c r="FK3" t="e">
        <f>AND(#REF!,"AAAAAHd866Y=")</f>
        <v>#REF!</v>
      </c>
      <c r="FL3" t="e">
        <f>AND(#REF!,"AAAAAHd866c=")</f>
        <v>#REF!</v>
      </c>
      <c r="FM3" t="e">
        <f>AND(#REF!,"AAAAAHd866g=")</f>
        <v>#REF!</v>
      </c>
      <c r="FN3" t="e">
        <f>AND(#REF!,"AAAAAHd866k=")</f>
        <v>#REF!</v>
      </c>
      <c r="FO3" t="e">
        <f>AND(#REF!,"AAAAAHd866o=")</f>
        <v>#REF!</v>
      </c>
      <c r="FP3" t="e">
        <f>AND(#REF!,"AAAAAHd866s=")</f>
        <v>#REF!</v>
      </c>
      <c r="FQ3" t="e">
        <f>AND(#REF!,"AAAAAHd866w=")</f>
        <v>#REF!</v>
      </c>
      <c r="FR3" t="e">
        <f>AND(#REF!,"AAAAAHd8660=")</f>
        <v>#REF!</v>
      </c>
      <c r="FS3" t="e">
        <f>AND(#REF!,"AAAAAHd8664=")</f>
        <v>#REF!</v>
      </c>
      <c r="FT3" t="e">
        <f>AND(#REF!,"AAAAAHd8668=")</f>
        <v>#REF!</v>
      </c>
      <c r="FU3" t="e">
        <f>AND(#REF!,"AAAAAHd867A=")</f>
        <v>#REF!</v>
      </c>
      <c r="FV3" t="e">
        <f>AND(#REF!,"AAAAAHd867E=")</f>
        <v>#REF!</v>
      </c>
      <c r="FW3" t="e">
        <f>AND(#REF!,"AAAAAHd867I=")</f>
        <v>#REF!</v>
      </c>
      <c r="FX3" t="e">
        <f>AND(#REF!,"AAAAAHd867M=")</f>
        <v>#REF!</v>
      </c>
      <c r="FY3" t="e">
        <f>AND(#REF!,"AAAAAHd867Q=")</f>
        <v>#REF!</v>
      </c>
      <c r="FZ3" t="e">
        <f>AND(#REF!,"AAAAAHd867U=")</f>
        <v>#REF!</v>
      </c>
      <c r="GA3" t="e">
        <f>AND(#REF!,"AAAAAHd867Y=")</f>
        <v>#REF!</v>
      </c>
      <c r="GB3" t="e">
        <f>AND(#REF!,"AAAAAHd867c=")</f>
        <v>#REF!</v>
      </c>
      <c r="GC3" t="e">
        <f>IF(#REF!,"AAAAAHd867g=",0)</f>
        <v>#REF!</v>
      </c>
      <c r="GD3" t="e">
        <f>AND(#REF!,"AAAAAHd867k=")</f>
        <v>#REF!</v>
      </c>
      <c r="GE3" t="e">
        <f>AND(#REF!,"AAAAAHd867o=")</f>
        <v>#REF!</v>
      </c>
      <c r="GF3" t="e">
        <f>AND(#REF!,"AAAAAHd867s=")</f>
        <v>#REF!</v>
      </c>
      <c r="GG3" t="e">
        <f>AND(#REF!,"AAAAAHd867w=")</f>
        <v>#REF!</v>
      </c>
      <c r="GH3" t="e">
        <f>AND(#REF!,"AAAAAHd8670=")</f>
        <v>#REF!</v>
      </c>
      <c r="GI3" t="e">
        <f>AND(#REF!,"AAAAAHd8674=")</f>
        <v>#REF!</v>
      </c>
      <c r="GJ3" t="e">
        <f>AND(#REF!,"AAAAAHd8678=")</f>
        <v>#REF!</v>
      </c>
      <c r="GK3" t="e">
        <f>AND(#REF!,"AAAAAHd868A=")</f>
        <v>#REF!</v>
      </c>
      <c r="GL3" t="e">
        <f>AND(#REF!,"AAAAAHd868E=")</f>
        <v>#REF!</v>
      </c>
      <c r="GM3" t="e">
        <f>AND(#REF!,"AAAAAHd868I=")</f>
        <v>#REF!</v>
      </c>
      <c r="GN3" t="e">
        <f>AND(#REF!,"AAAAAHd868M=")</f>
        <v>#REF!</v>
      </c>
      <c r="GO3" t="e">
        <f>AND(#REF!,"AAAAAHd868Q=")</f>
        <v>#REF!</v>
      </c>
      <c r="GP3" t="e">
        <f>AND(#REF!,"AAAAAHd868U=")</f>
        <v>#REF!</v>
      </c>
      <c r="GQ3" t="e">
        <f>AND(#REF!,"AAAAAHd868Y=")</f>
        <v>#REF!</v>
      </c>
      <c r="GR3" t="e">
        <f>AND(#REF!,"AAAAAHd868c=")</f>
        <v>#REF!</v>
      </c>
      <c r="GS3" t="e">
        <f>AND(#REF!,"AAAAAHd868g=")</f>
        <v>#REF!</v>
      </c>
      <c r="GT3" t="e">
        <f>AND(#REF!,"AAAAAHd868k=")</f>
        <v>#REF!</v>
      </c>
      <c r="GU3" t="e">
        <f>AND(#REF!,"AAAAAHd868o=")</f>
        <v>#REF!</v>
      </c>
      <c r="GV3" t="e">
        <f>AND(#REF!,"AAAAAHd868s=")</f>
        <v>#REF!</v>
      </c>
      <c r="GW3" t="e">
        <f>AND(#REF!,"AAAAAHd868w=")</f>
        <v>#REF!</v>
      </c>
      <c r="GX3" t="e">
        <f>AND(#REF!,"AAAAAHd8680=")</f>
        <v>#REF!</v>
      </c>
      <c r="GY3" t="e">
        <f>AND(#REF!,"AAAAAHd8684=")</f>
        <v>#REF!</v>
      </c>
      <c r="GZ3" t="e">
        <f>AND(#REF!,"AAAAAHd8688=")</f>
        <v>#REF!</v>
      </c>
      <c r="HA3" t="e">
        <f>IF(#REF!,"AAAAAHd869A=",0)</f>
        <v>#REF!</v>
      </c>
      <c r="HB3" t="e">
        <f>AND(#REF!,"AAAAAHd869E=")</f>
        <v>#REF!</v>
      </c>
      <c r="HC3" t="e">
        <f>AND(#REF!,"AAAAAHd869I=")</f>
        <v>#REF!</v>
      </c>
      <c r="HD3" t="e">
        <f>AND(#REF!,"AAAAAHd869M=")</f>
        <v>#REF!</v>
      </c>
      <c r="HE3" t="e">
        <f>AND(#REF!,"AAAAAHd869Q=")</f>
        <v>#REF!</v>
      </c>
      <c r="HF3" t="e">
        <f>AND(#REF!,"AAAAAHd869U=")</f>
        <v>#REF!</v>
      </c>
      <c r="HG3" t="e">
        <f>AND(#REF!,"AAAAAHd869Y=")</f>
        <v>#REF!</v>
      </c>
      <c r="HH3" t="e">
        <f>AND(#REF!,"AAAAAHd869c=")</f>
        <v>#REF!</v>
      </c>
      <c r="HI3" t="e">
        <f>AND(#REF!,"AAAAAHd869g=")</f>
        <v>#REF!</v>
      </c>
      <c r="HJ3" t="e">
        <f>AND(#REF!,"AAAAAHd869k=")</f>
        <v>#REF!</v>
      </c>
      <c r="HK3" t="e">
        <f>AND(#REF!,"AAAAAHd869o=")</f>
        <v>#REF!</v>
      </c>
      <c r="HL3" t="e">
        <f>AND(#REF!,"AAAAAHd869s=")</f>
        <v>#REF!</v>
      </c>
      <c r="HM3" t="e">
        <f>AND(#REF!,"AAAAAHd869w=")</f>
        <v>#REF!</v>
      </c>
      <c r="HN3" t="e">
        <f>AND(#REF!,"AAAAAHd8690=")</f>
        <v>#REF!</v>
      </c>
      <c r="HO3" t="e">
        <f>AND(#REF!,"AAAAAHd8694=")</f>
        <v>#REF!</v>
      </c>
      <c r="HP3" t="e">
        <f>AND(#REF!,"AAAAAHd8698=")</f>
        <v>#REF!</v>
      </c>
      <c r="HQ3" t="e">
        <f>AND(#REF!,"AAAAAHd86+A=")</f>
        <v>#REF!</v>
      </c>
      <c r="HR3" t="e">
        <f>AND(#REF!,"AAAAAHd86+E=")</f>
        <v>#REF!</v>
      </c>
      <c r="HS3" t="e">
        <f>AND(#REF!,"AAAAAHd86+I=")</f>
        <v>#REF!</v>
      </c>
      <c r="HT3" t="e">
        <f>AND(#REF!,"AAAAAHd86+M=")</f>
        <v>#REF!</v>
      </c>
      <c r="HU3" t="e">
        <f>AND(#REF!,"AAAAAHd86+Q=")</f>
        <v>#REF!</v>
      </c>
      <c r="HV3" t="e">
        <f>AND(#REF!,"AAAAAHd86+U=")</f>
        <v>#REF!</v>
      </c>
      <c r="HW3" t="e">
        <f>AND(#REF!,"AAAAAHd86+Y=")</f>
        <v>#REF!</v>
      </c>
      <c r="HX3" t="e">
        <f>AND(#REF!,"AAAAAHd86+c=")</f>
        <v>#REF!</v>
      </c>
      <c r="HY3" t="e">
        <f>IF(#REF!,"AAAAAHd86+g=",0)</f>
        <v>#REF!</v>
      </c>
      <c r="HZ3" t="e">
        <f>AND(#REF!,"AAAAAHd86+k=")</f>
        <v>#REF!</v>
      </c>
      <c r="IA3" t="e">
        <f>AND(#REF!,"AAAAAHd86+o=")</f>
        <v>#REF!</v>
      </c>
      <c r="IB3" t="e">
        <f>AND(#REF!,"AAAAAHd86+s=")</f>
        <v>#REF!</v>
      </c>
      <c r="IC3" t="e">
        <f>AND(#REF!,"AAAAAHd86+w=")</f>
        <v>#REF!</v>
      </c>
      <c r="ID3" t="e">
        <f>AND(#REF!,"AAAAAHd86+0=")</f>
        <v>#REF!</v>
      </c>
      <c r="IE3" t="e">
        <f>AND(#REF!,"AAAAAHd86+4=")</f>
        <v>#REF!</v>
      </c>
      <c r="IF3" t="e">
        <f>AND(#REF!,"AAAAAHd86+8=")</f>
        <v>#REF!</v>
      </c>
      <c r="IG3" t="e">
        <f>AND(#REF!,"AAAAAHd86/A=")</f>
        <v>#REF!</v>
      </c>
      <c r="IH3" t="e">
        <f>AND(#REF!,"AAAAAHd86/E=")</f>
        <v>#REF!</v>
      </c>
      <c r="II3" t="e">
        <f>AND(#REF!,"AAAAAHd86/I=")</f>
        <v>#REF!</v>
      </c>
      <c r="IJ3" t="e">
        <f>AND(#REF!,"AAAAAHd86/M=")</f>
        <v>#REF!</v>
      </c>
      <c r="IK3" t="e">
        <f>AND(#REF!,"AAAAAHd86/Q=")</f>
        <v>#REF!</v>
      </c>
      <c r="IL3" t="e">
        <f>AND(#REF!,"AAAAAHd86/U=")</f>
        <v>#REF!</v>
      </c>
      <c r="IM3" t="e">
        <f>AND(#REF!,"AAAAAHd86/Y=")</f>
        <v>#REF!</v>
      </c>
      <c r="IN3" t="e">
        <f>AND(#REF!,"AAAAAHd86/c=")</f>
        <v>#REF!</v>
      </c>
      <c r="IO3" t="e">
        <f>AND(#REF!,"AAAAAHd86/g=")</f>
        <v>#REF!</v>
      </c>
      <c r="IP3" t="e">
        <f>AND(#REF!,"AAAAAHd86/k=")</f>
        <v>#REF!</v>
      </c>
      <c r="IQ3" t="e">
        <f>AND(#REF!,"AAAAAHd86/o=")</f>
        <v>#REF!</v>
      </c>
      <c r="IR3" t="e">
        <f>AND(#REF!,"AAAAAHd86/s=")</f>
        <v>#REF!</v>
      </c>
      <c r="IS3" t="e">
        <f>AND(#REF!,"AAAAAHd86/w=")</f>
        <v>#REF!</v>
      </c>
      <c r="IT3" t="e">
        <f>AND(#REF!,"AAAAAHd86/0=")</f>
        <v>#REF!</v>
      </c>
      <c r="IU3" t="e">
        <f>AND(#REF!,"AAAAAHd86/4=")</f>
        <v>#REF!</v>
      </c>
      <c r="IV3" t="e">
        <f>AND(#REF!,"AAAAAHd86/8=")</f>
        <v>#REF!</v>
      </c>
    </row>
    <row r="4" spans="1:256" x14ac:dyDescent="0.25">
      <c r="A4" t="e">
        <f>IF(#REF!,"AAAAAE/8uQA=",0)</f>
        <v>#REF!</v>
      </c>
      <c r="B4" t="e">
        <f>AND(#REF!,"AAAAAE/8uQE=")</f>
        <v>#REF!</v>
      </c>
      <c r="C4" t="e">
        <f>AND(#REF!,"AAAAAE/8uQI=")</f>
        <v>#REF!</v>
      </c>
      <c r="D4" t="e">
        <f>AND(#REF!,"AAAAAE/8uQM=")</f>
        <v>#REF!</v>
      </c>
      <c r="E4" t="e">
        <f>AND(#REF!,"AAAAAE/8uQQ=")</f>
        <v>#REF!</v>
      </c>
      <c r="F4" t="e">
        <f>AND(#REF!,"AAAAAE/8uQU=")</f>
        <v>#REF!</v>
      </c>
      <c r="G4" t="e">
        <f>AND(#REF!,"AAAAAE/8uQY=")</f>
        <v>#REF!</v>
      </c>
      <c r="H4" t="e">
        <f>AND(#REF!,"AAAAAE/8uQc=")</f>
        <v>#REF!</v>
      </c>
      <c r="I4" t="e">
        <f>AND(#REF!,"AAAAAE/8uQg=")</f>
        <v>#REF!</v>
      </c>
      <c r="J4" t="e">
        <f>AND(#REF!,"AAAAAE/8uQk=")</f>
        <v>#REF!</v>
      </c>
      <c r="K4" t="e">
        <f>AND(#REF!,"AAAAAE/8uQo=")</f>
        <v>#REF!</v>
      </c>
      <c r="L4" t="e">
        <f>AND(#REF!,"AAAAAE/8uQs=")</f>
        <v>#REF!</v>
      </c>
      <c r="M4" t="e">
        <f>AND(#REF!,"AAAAAE/8uQw=")</f>
        <v>#REF!</v>
      </c>
      <c r="N4" t="e">
        <f>AND(#REF!,"AAAAAE/8uQ0=")</f>
        <v>#REF!</v>
      </c>
      <c r="O4" t="e">
        <f>AND(#REF!,"AAAAAE/8uQ4=")</f>
        <v>#REF!</v>
      </c>
      <c r="P4" t="e">
        <f>AND(#REF!,"AAAAAE/8uQ8=")</f>
        <v>#REF!</v>
      </c>
      <c r="Q4" t="e">
        <f>AND(#REF!,"AAAAAE/8uRA=")</f>
        <v>#REF!</v>
      </c>
      <c r="R4" t="e">
        <f>AND(#REF!,"AAAAAE/8uRE=")</f>
        <v>#REF!</v>
      </c>
      <c r="S4" t="e">
        <f>AND(#REF!,"AAAAAE/8uRI=")</f>
        <v>#REF!</v>
      </c>
      <c r="T4" t="e">
        <f>AND(#REF!,"AAAAAE/8uRM=")</f>
        <v>#REF!</v>
      </c>
      <c r="U4" t="e">
        <f>AND(#REF!,"AAAAAE/8uRQ=")</f>
        <v>#REF!</v>
      </c>
      <c r="V4" t="e">
        <f>AND(#REF!,"AAAAAE/8uRU=")</f>
        <v>#REF!</v>
      </c>
      <c r="W4" t="e">
        <f>AND(#REF!,"AAAAAE/8uRY=")</f>
        <v>#REF!</v>
      </c>
      <c r="X4" t="e">
        <f>AND(#REF!,"AAAAAE/8uRc=")</f>
        <v>#REF!</v>
      </c>
      <c r="Y4" t="e">
        <f>IF(#REF!,"AAAAAE/8uRg=",0)</f>
        <v>#REF!</v>
      </c>
      <c r="Z4" t="e">
        <f>AND(#REF!,"AAAAAE/8uRk=")</f>
        <v>#REF!</v>
      </c>
      <c r="AA4" t="e">
        <f>AND(#REF!,"AAAAAE/8uRo=")</f>
        <v>#REF!</v>
      </c>
      <c r="AB4" t="e">
        <f>AND(#REF!,"AAAAAE/8uRs=")</f>
        <v>#REF!</v>
      </c>
      <c r="AC4" t="e">
        <f>AND(#REF!,"AAAAAE/8uRw=")</f>
        <v>#REF!</v>
      </c>
      <c r="AD4" t="e">
        <f>AND(#REF!,"AAAAAE/8uR0=")</f>
        <v>#REF!</v>
      </c>
      <c r="AE4" t="e">
        <f>AND(#REF!,"AAAAAE/8uR4=")</f>
        <v>#REF!</v>
      </c>
      <c r="AF4" t="e">
        <f>AND(#REF!,"AAAAAE/8uR8=")</f>
        <v>#REF!</v>
      </c>
      <c r="AG4" t="e">
        <f>AND(#REF!,"AAAAAE/8uSA=")</f>
        <v>#REF!</v>
      </c>
      <c r="AH4" t="e">
        <f>AND(#REF!,"AAAAAE/8uSE=")</f>
        <v>#REF!</v>
      </c>
      <c r="AI4" t="e">
        <f>AND(#REF!,"AAAAAE/8uSI=")</f>
        <v>#REF!</v>
      </c>
      <c r="AJ4" t="e">
        <f>AND(#REF!,"AAAAAE/8uSM=")</f>
        <v>#REF!</v>
      </c>
      <c r="AK4" t="e">
        <f>AND(#REF!,"AAAAAE/8uSQ=")</f>
        <v>#REF!</v>
      </c>
      <c r="AL4" t="e">
        <f>AND(#REF!,"AAAAAE/8uSU=")</f>
        <v>#REF!</v>
      </c>
      <c r="AM4" t="e">
        <f>AND(#REF!,"AAAAAE/8uSY=")</f>
        <v>#REF!</v>
      </c>
      <c r="AN4" t="e">
        <f>AND(#REF!,"AAAAAE/8uSc=")</f>
        <v>#REF!</v>
      </c>
      <c r="AO4" t="e">
        <f>AND(#REF!,"AAAAAE/8uSg=")</f>
        <v>#REF!</v>
      </c>
      <c r="AP4" t="e">
        <f>AND(#REF!,"AAAAAE/8uSk=")</f>
        <v>#REF!</v>
      </c>
      <c r="AQ4" t="e">
        <f>AND(#REF!,"AAAAAE/8uSo=")</f>
        <v>#REF!</v>
      </c>
      <c r="AR4" t="e">
        <f>AND(#REF!,"AAAAAE/8uSs=")</f>
        <v>#REF!</v>
      </c>
      <c r="AS4" t="e">
        <f>AND(#REF!,"AAAAAE/8uSw=")</f>
        <v>#REF!</v>
      </c>
      <c r="AT4" t="e">
        <f>AND(#REF!,"AAAAAE/8uS0=")</f>
        <v>#REF!</v>
      </c>
      <c r="AU4" t="e">
        <f>AND(#REF!,"AAAAAE/8uS4=")</f>
        <v>#REF!</v>
      </c>
      <c r="AV4" t="e">
        <f>AND(#REF!,"AAAAAE/8uS8=")</f>
        <v>#REF!</v>
      </c>
      <c r="AW4" t="e">
        <f>IF(#REF!,"AAAAAE/8uTA=",0)</f>
        <v>#REF!</v>
      </c>
      <c r="AX4" t="e">
        <f>AND(#REF!,"AAAAAE/8uTE=")</f>
        <v>#REF!</v>
      </c>
      <c r="AY4" t="e">
        <f>AND(#REF!,"AAAAAE/8uTI=")</f>
        <v>#REF!</v>
      </c>
      <c r="AZ4" t="e">
        <f>AND(#REF!,"AAAAAE/8uTM=")</f>
        <v>#REF!</v>
      </c>
      <c r="BA4" t="e">
        <f>AND(#REF!,"AAAAAE/8uTQ=")</f>
        <v>#REF!</v>
      </c>
      <c r="BB4" t="e">
        <f>AND(#REF!,"AAAAAE/8uTU=")</f>
        <v>#REF!</v>
      </c>
      <c r="BC4" t="e">
        <f>AND(#REF!,"AAAAAE/8uTY=")</f>
        <v>#REF!</v>
      </c>
      <c r="BD4" t="e">
        <f>AND(#REF!,"AAAAAE/8uTc=")</f>
        <v>#REF!</v>
      </c>
      <c r="BE4" t="e">
        <f>AND(#REF!,"AAAAAE/8uTg=")</f>
        <v>#REF!</v>
      </c>
      <c r="BF4" t="e">
        <f>AND(#REF!,"AAAAAE/8uTk=")</f>
        <v>#REF!</v>
      </c>
      <c r="BG4" t="e">
        <f>AND(#REF!,"AAAAAE/8uTo=")</f>
        <v>#REF!</v>
      </c>
      <c r="BH4" t="e">
        <f>AND(#REF!,"AAAAAE/8uTs=")</f>
        <v>#REF!</v>
      </c>
      <c r="BI4" t="e">
        <f>AND(#REF!,"AAAAAE/8uTw=")</f>
        <v>#REF!</v>
      </c>
      <c r="BJ4" t="e">
        <f>AND(#REF!,"AAAAAE/8uT0=")</f>
        <v>#REF!</v>
      </c>
      <c r="BK4" t="e">
        <f>AND(#REF!,"AAAAAE/8uT4=")</f>
        <v>#REF!</v>
      </c>
      <c r="BL4" t="e">
        <f>AND(#REF!,"AAAAAE/8uT8=")</f>
        <v>#REF!</v>
      </c>
      <c r="BM4" t="e">
        <f>AND(#REF!,"AAAAAE/8uUA=")</f>
        <v>#REF!</v>
      </c>
      <c r="BN4" t="e">
        <f>AND(#REF!,"AAAAAE/8uUE=")</f>
        <v>#REF!</v>
      </c>
      <c r="BO4" t="e">
        <f>AND(#REF!,"AAAAAE/8uUI=")</f>
        <v>#REF!</v>
      </c>
      <c r="BP4" t="e">
        <f>AND(#REF!,"AAAAAE/8uUM=")</f>
        <v>#REF!</v>
      </c>
      <c r="BQ4" t="e">
        <f>AND(#REF!,"AAAAAE/8uUQ=")</f>
        <v>#REF!</v>
      </c>
      <c r="BR4" t="e">
        <f>AND(#REF!,"AAAAAE/8uUU=")</f>
        <v>#REF!</v>
      </c>
      <c r="BS4" t="e">
        <f>AND(#REF!,"AAAAAE/8uUY=")</f>
        <v>#REF!</v>
      </c>
      <c r="BT4" t="e">
        <f>AND(#REF!,"AAAAAE/8uUc=")</f>
        <v>#REF!</v>
      </c>
      <c r="BU4" t="e">
        <f>IF(#REF!,"AAAAAE/8uUg=",0)</f>
        <v>#REF!</v>
      </c>
      <c r="BV4" t="e">
        <f>AND(#REF!,"AAAAAE/8uUk=")</f>
        <v>#REF!</v>
      </c>
      <c r="BW4" t="e">
        <f>AND(#REF!,"AAAAAE/8uUo=")</f>
        <v>#REF!</v>
      </c>
      <c r="BX4" t="e">
        <f>AND(#REF!,"AAAAAE/8uUs=")</f>
        <v>#REF!</v>
      </c>
      <c r="BY4" t="e">
        <f>AND(#REF!,"AAAAAE/8uUw=")</f>
        <v>#REF!</v>
      </c>
      <c r="BZ4" t="e">
        <f>AND(#REF!,"AAAAAE/8uU0=")</f>
        <v>#REF!</v>
      </c>
      <c r="CA4" t="e">
        <f>AND(#REF!,"AAAAAE/8uU4=")</f>
        <v>#REF!</v>
      </c>
      <c r="CB4" t="e">
        <f>AND(#REF!,"AAAAAE/8uU8=")</f>
        <v>#REF!</v>
      </c>
      <c r="CC4" t="e">
        <f>AND(#REF!,"AAAAAE/8uVA=")</f>
        <v>#REF!</v>
      </c>
      <c r="CD4" t="e">
        <f>AND(#REF!,"AAAAAE/8uVE=")</f>
        <v>#REF!</v>
      </c>
      <c r="CE4" t="e">
        <f>AND(#REF!,"AAAAAE/8uVI=")</f>
        <v>#REF!</v>
      </c>
      <c r="CF4" t="e">
        <f>AND(#REF!,"AAAAAE/8uVM=")</f>
        <v>#REF!</v>
      </c>
      <c r="CG4" t="e">
        <f>AND(#REF!,"AAAAAE/8uVQ=")</f>
        <v>#REF!</v>
      </c>
      <c r="CH4" t="e">
        <f>AND(#REF!,"AAAAAE/8uVU=")</f>
        <v>#REF!</v>
      </c>
      <c r="CI4" t="e">
        <f>AND(#REF!,"AAAAAE/8uVY=")</f>
        <v>#REF!</v>
      </c>
      <c r="CJ4" t="e">
        <f>AND(#REF!,"AAAAAE/8uVc=")</f>
        <v>#REF!</v>
      </c>
      <c r="CK4" t="e">
        <f>AND(#REF!,"AAAAAE/8uVg=")</f>
        <v>#REF!</v>
      </c>
      <c r="CL4" t="e">
        <f>AND(#REF!,"AAAAAE/8uVk=")</f>
        <v>#REF!</v>
      </c>
      <c r="CM4" t="e">
        <f>AND(#REF!,"AAAAAE/8uVo=")</f>
        <v>#REF!</v>
      </c>
      <c r="CN4" t="e">
        <f>AND(#REF!,"AAAAAE/8uVs=")</f>
        <v>#REF!</v>
      </c>
      <c r="CO4" t="e">
        <f>AND(#REF!,"AAAAAE/8uVw=")</f>
        <v>#REF!</v>
      </c>
      <c r="CP4" t="e">
        <f>AND(#REF!,"AAAAAE/8uV0=")</f>
        <v>#REF!</v>
      </c>
      <c r="CQ4" t="e">
        <f>AND(#REF!,"AAAAAE/8uV4=")</f>
        <v>#REF!</v>
      </c>
      <c r="CR4" t="e">
        <f>AND(#REF!,"AAAAAE/8uV8=")</f>
        <v>#REF!</v>
      </c>
      <c r="CS4" t="e">
        <f>IF(#REF!,"AAAAAE/8uWA=",0)</f>
        <v>#REF!</v>
      </c>
      <c r="CT4" t="e">
        <f>AND(#REF!,"AAAAAE/8uWE=")</f>
        <v>#REF!</v>
      </c>
      <c r="CU4" t="e">
        <f>AND(#REF!,"AAAAAE/8uWI=")</f>
        <v>#REF!</v>
      </c>
      <c r="CV4" t="e">
        <f>AND(#REF!,"AAAAAE/8uWM=")</f>
        <v>#REF!</v>
      </c>
      <c r="CW4" t="e">
        <f>AND(#REF!,"AAAAAE/8uWQ=")</f>
        <v>#REF!</v>
      </c>
      <c r="CX4" t="e">
        <f>AND(#REF!,"AAAAAE/8uWU=")</f>
        <v>#REF!</v>
      </c>
      <c r="CY4" t="e">
        <f>AND(#REF!,"AAAAAE/8uWY=")</f>
        <v>#REF!</v>
      </c>
      <c r="CZ4" t="e">
        <f>AND(#REF!,"AAAAAE/8uWc=")</f>
        <v>#REF!</v>
      </c>
      <c r="DA4" t="e">
        <f>AND(#REF!,"AAAAAE/8uWg=")</f>
        <v>#REF!</v>
      </c>
      <c r="DB4" t="e">
        <f>AND(#REF!,"AAAAAE/8uWk=")</f>
        <v>#REF!</v>
      </c>
      <c r="DC4" t="e">
        <f>AND(#REF!,"AAAAAE/8uWo=")</f>
        <v>#REF!</v>
      </c>
      <c r="DD4" t="e">
        <f>AND(#REF!,"AAAAAE/8uWs=")</f>
        <v>#REF!</v>
      </c>
      <c r="DE4" t="e">
        <f>AND(#REF!,"AAAAAE/8uWw=")</f>
        <v>#REF!</v>
      </c>
      <c r="DF4" t="e">
        <f>AND(#REF!,"AAAAAE/8uW0=")</f>
        <v>#REF!</v>
      </c>
      <c r="DG4" t="e">
        <f>AND(#REF!,"AAAAAE/8uW4=")</f>
        <v>#REF!</v>
      </c>
      <c r="DH4" t="e">
        <f>AND(#REF!,"AAAAAE/8uW8=")</f>
        <v>#REF!</v>
      </c>
      <c r="DI4" t="e">
        <f>AND(#REF!,"AAAAAE/8uXA=")</f>
        <v>#REF!</v>
      </c>
      <c r="DJ4" t="e">
        <f>AND(#REF!,"AAAAAE/8uXE=")</f>
        <v>#REF!</v>
      </c>
      <c r="DK4" t="e">
        <f>AND(#REF!,"AAAAAE/8uXI=")</f>
        <v>#REF!</v>
      </c>
      <c r="DL4" t="e">
        <f>AND(#REF!,"AAAAAE/8uXM=")</f>
        <v>#REF!</v>
      </c>
      <c r="DM4" t="e">
        <f>AND(#REF!,"AAAAAE/8uXQ=")</f>
        <v>#REF!</v>
      </c>
      <c r="DN4" t="e">
        <f>AND(#REF!,"AAAAAE/8uXU=")</f>
        <v>#REF!</v>
      </c>
      <c r="DO4" t="e">
        <f>AND(#REF!,"AAAAAE/8uXY=")</f>
        <v>#REF!</v>
      </c>
      <c r="DP4" t="e">
        <f>AND(#REF!,"AAAAAE/8uXc=")</f>
        <v>#REF!</v>
      </c>
      <c r="DQ4" t="e">
        <f>IF(#REF!,"AAAAAE/8uXg=",0)</f>
        <v>#REF!</v>
      </c>
      <c r="DR4" t="e">
        <f>AND(#REF!,"AAAAAE/8uXk=")</f>
        <v>#REF!</v>
      </c>
      <c r="DS4" t="e">
        <f>AND(#REF!,"AAAAAE/8uXo=")</f>
        <v>#REF!</v>
      </c>
      <c r="DT4" t="e">
        <f>AND(#REF!,"AAAAAE/8uXs=")</f>
        <v>#REF!</v>
      </c>
      <c r="DU4" t="e">
        <f>AND(#REF!,"AAAAAE/8uXw=")</f>
        <v>#REF!</v>
      </c>
      <c r="DV4" t="e">
        <f>AND(#REF!,"AAAAAE/8uX0=")</f>
        <v>#REF!</v>
      </c>
      <c r="DW4" t="e">
        <f>AND(#REF!,"AAAAAE/8uX4=")</f>
        <v>#REF!</v>
      </c>
      <c r="DX4" t="e">
        <f>AND(#REF!,"AAAAAE/8uX8=")</f>
        <v>#REF!</v>
      </c>
      <c r="DY4" t="e">
        <f>AND(#REF!,"AAAAAE/8uYA=")</f>
        <v>#REF!</v>
      </c>
      <c r="DZ4" t="e">
        <f>AND(#REF!,"AAAAAE/8uYE=")</f>
        <v>#REF!</v>
      </c>
      <c r="EA4" t="e">
        <f>AND(#REF!,"AAAAAE/8uYI=")</f>
        <v>#REF!</v>
      </c>
      <c r="EB4" t="e">
        <f>AND(#REF!,"AAAAAE/8uYM=")</f>
        <v>#REF!</v>
      </c>
      <c r="EC4" t="e">
        <f>AND(#REF!,"AAAAAE/8uYQ=")</f>
        <v>#REF!</v>
      </c>
      <c r="ED4" t="e">
        <f>AND(#REF!,"AAAAAE/8uYU=")</f>
        <v>#REF!</v>
      </c>
      <c r="EE4" t="e">
        <f>AND(#REF!,"AAAAAE/8uYY=")</f>
        <v>#REF!</v>
      </c>
      <c r="EF4" t="e">
        <f>AND(#REF!,"AAAAAE/8uYc=")</f>
        <v>#REF!</v>
      </c>
      <c r="EG4" t="e">
        <f>AND(#REF!,"AAAAAE/8uYg=")</f>
        <v>#REF!</v>
      </c>
      <c r="EH4" t="e">
        <f>AND(#REF!,"AAAAAE/8uYk=")</f>
        <v>#REF!</v>
      </c>
      <c r="EI4" t="e">
        <f>AND(#REF!,"AAAAAE/8uYo=")</f>
        <v>#REF!</v>
      </c>
      <c r="EJ4" t="e">
        <f>AND(#REF!,"AAAAAE/8uYs=")</f>
        <v>#REF!</v>
      </c>
      <c r="EK4" t="e">
        <f>AND(#REF!,"AAAAAE/8uYw=")</f>
        <v>#REF!</v>
      </c>
      <c r="EL4" t="e">
        <f>AND(#REF!,"AAAAAE/8uY0=")</f>
        <v>#REF!</v>
      </c>
      <c r="EM4" t="e">
        <f>AND(#REF!,"AAAAAE/8uY4=")</f>
        <v>#REF!</v>
      </c>
      <c r="EN4" t="e">
        <f>AND(#REF!,"AAAAAE/8uY8=")</f>
        <v>#REF!</v>
      </c>
      <c r="EO4" t="e">
        <f>IF(#REF!,"AAAAAE/8uZA=",0)</f>
        <v>#REF!</v>
      </c>
      <c r="EP4" t="e">
        <f>AND(#REF!,"AAAAAE/8uZE=")</f>
        <v>#REF!</v>
      </c>
      <c r="EQ4" t="e">
        <f>AND(#REF!,"AAAAAE/8uZI=")</f>
        <v>#REF!</v>
      </c>
      <c r="ER4" t="e">
        <f>AND(#REF!,"AAAAAE/8uZM=")</f>
        <v>#REF!</v>
      </c>
      <c r="ES4" t="e">
        <f>AND(#REF!,"AAAAAE/8uZQ=")</f>
        <v>#REF!</v>
      </c>
      <c r="ET4" t="e">
        <f>AND(#REF!,"AAAAAE/8uZU=")</f>
        <v>#REF!</v>
      </c>
      <c r="EU4" t="e">
        <f>AND(#REF!,"AAAAAE/8uZY=")</f>
        <v>#REF!</v>
      </c>
      <c r="EV4" t="e">
        <f>AND(#REF!,"AAAAAE/8uZc=")</f>
        <v>#REF!</v>
      </c>
      <c r="EW4" t="e">
        <f>AND(#REF!,"AAAAAE/8uZg=")</f>
        <v>#REF!</v>
      </c>
      <c r="EX4" t="e">
        <f>AND(#REF!,"AAAAAE/8uZk=")</f>
        <v>#REF!</v>
      </c>
      <c r="EY4" t="e">
        <f>AND(#REF!,"AAAAAE/8uZo=")</f>
        <v>#REF!</v>
      </c>
      <c r="EZ4" t="e">
        <f>AND(#REF!,"AAAAAE/8uZs=")</f>
        <v>#REF!</v>
      </c>
      <c r="FA4" t="e">
        <f>AND(#REF!,"AAAAAE/8uZw=")</f>
        <v>#REF!</v>
      </c>
      <c r="FB4" t="e">
        <f>AND(#REF!,"AAAAAE/8uZ0=")</f>
        <v>#REF!</v>
      </c>
      <c r="FC4" t="e">
        <f>AND(#REF!,"AAAAAE/8uZ4=")</f>
        <v>#REF!</v>
      </c>
      <c r="FD4" t="e">
        <f>AND(#REF!,"AAAAAE/8uZ8=")</f>
        <v>#REF!</v>
      </c>
      <c r="FE4" t="e">
        <f>AND(#REF!,"AAAAAE/8uaA=")</f>
        <v>#REF!</v>
      </c>
      <c r="FF4" t="e">
        <f>AND(#REF!,"AAAAAE/8uaE=")</f>
        <v>#REF!</v>
      </c>
      <c r="FG4" t="e">
        <f>AND(#REF!,"AAAAAE/8uaI=")</f>
        <v>#REF!</v>
      </c>
      <c r="FH4" t="e">
        <f>AND(#REF!,"AAAAAE/8uaM=")</f>
        <v>#REF!</v>
      </c>
      <c r="FI4" t="e">
        <f>AND(#REF!,"AAAAAE/8uaQ=")</f>
        <v>#REF!</v>
      </c>
      <c r="FJ4" t="e">
        <f>AND(#REF!,"AAAAAE/8uaU=")</f>
        <v>#REF!</v>
      </c>
      <c r="FK4" t="e">
        <f>AND(#REF!,"AAAAAE/8uaY=")</f>
        <v>#REF!</v>
      </c>
      <c r="FL4" t="e">
        <f>AND(#REF!,"AAAAAE/8uac=")</f>
        <v>#REF!</v>
      </c>
      <c r="FM4" t="e">
        <f>IF(#REF!,"AAAAAE/8uag=",0)</f>
        <v>#REF!</v>
      </c>
      <c r="FN4" t="e">
        <f>AND(#REF!,"AAAAAE/8uak=")</f>
        <v>#REF!</v>
      </c>
      <c r="FO4" t="e">
        <f>AND(#REF!,"AAAAAE/8uao=")</f>
        <v>#REF!</v>
      </c>
      <c r="FP4" t="e">
        <f>AND(#REF!,"AAAAAE/8uas=")</f>
        <v>#REF!</v>
      </c>
      <c r="FQ4" t="e">
        <f>AND(#REF!,"AAAAAE/8uaw=")</f>
        <v>#REF!</v>
      </c>
      <c r="FR4" t="e">
        <f>AND(#REF!,"AAAAAE/8ua0=")</f>
        <v>#REF!</v>
      </c>
      <c r="FS4" t="e">
        <f>AND(#REF!,"AAAAAE/8ua4=")</f>
        <v>#REF!</v>
      </c>
      <c r="FT4" t="e">
        <f>AND(#REF!,"AAAAAE/8ua8=")</f>
        <v>#REF!</v>
      </c>
      <c r="FU4" t="e">
        <f>AND(#REF!,"AAAAAE/8ubA=")</f>
        <v>#REF!</v>
      </c>
      <c r="FV4" t="e">
        <f>AND(#REF!,"AAAAAE/8ubE=")</f>
        <v>#REF!</v>
      </c>
      <c r="FW4" t="e">
        <f>AND(#REF!,"AAAAAE/8ubI=")</f>
        <v>#REF!</v>
      </c>
      <c r="FX4" t="e">
        <f>AND(#REF!,"AAAAAE/8ubM=")</f>
        <v>#REF!</v>
      </c>
      <c r="FY4" t="e">
        <f>AND(#REF!,"AAAAAE/8ubQ=")</f>
        <v>#REF!</v>
      </c>
      <c r="FZ4" t="e">
        <f>AND(#REF!,"AAAAAE/8ubU=")</f>
        <v>#REF!</v>
      </c>
      <c r="GA4" t="e">
        <f>AND(#REF!,"AAAAAE/8ubY=")</f>
        <v>#REF!</v>
      </c>
      <c r="GB4" t="e">
        <f>AND(#REF!,"AAAAAE/8ubc=")</f>
        <v>#REF!</v>
      </c>
      <c r="GC4" t="e">
        <f>AND(#REF!,"AAAAAE/8ubg=")</f>
        <v>#REF!</v>
      </c>
      <c r="GD4" t="e">
        <f>AND(#REF!,"AAAAAE/8ubk=")</f>
        <v>#REF!</v>
      </c>
      <c r="GE4" t="e">
        <f>AND(#REF!,"AAAAAE/8ubo=")</f>
        <v>#REF!</v>
      </c>
      <c r="GF4" t="e">
        <f>AND(#REF!,"AAAAAE/8ubs=")</f>
        <v>#REF!</v>
      </c>
      <c r="GG4" t="e">
        <f>AND(#REF!,"AAAAAE/8ubw=")</f>
        <v>#REF!</v>
      </c>
      <c r="GH4" t="e">
        <f>AND(#REF!,"AAAAAE/8ub0=")</f>
        <v>#REF!</v>
      </c>
      <c r="GI4" t="e">
        <f>AND(#REF!,"AAAAAE/8ub4=")</f>
        <v>#REF!</v>
      </c>
      <c r="GJ4" t="e">
        <f>AND(#REF!,"AAAAAE/8ub8=")</f>
        <v>#REF!</v>
      </c>
      <c r="GK4" t="e">
        <f>IF(#REF!,"AAAAAE/8ucA=",0)</f>
        <v>#REF!</v>
      </c>
      <c r="GL4" t="e">
        <f>AND(#REF!,"AAAAAE/8ucE=")</f>
        <v>#REF!</v>
      </c>
      <c r="GM4" t="e">
        <f>AND(#REF!,"AAAAAE/8ucI=")</f>
        <v>#REF!</v>
      </c>
      <c r="GN4" t="e">
        <f>AND(#REF!,"AAAAAE/8ucM=")</f>
        <v>#REF!</v>
      </c>
      <c r="GO4" t="e">
        <f>AND(#REF!,"AAAAAE/8ucQ=")</f>
        <v>#REF!</v>
      </c>
      <c r="GP4" t="e">
        <f>AND(#REF!,"AAAAAE/8ucU=")</f>
        <v>#REF!</v>
      </c>
      <c r="GQ4" t="e">
        <f>AND(#REF!,"AAAAAE/8ucY=")</f>
        <v>#REF!</v>
      </c>
      <c r="GR4" t="e">
        <f>AND(#REF!,"AAAAAE/8ucc=")</f>
        <v>#REF!</v>
      </c>
      <c r="GS4" t="e">
        <f>AND(#REF!,"AAAAAE/8ucg=")</f>
        <v>#REF!</v>
      </c>
      <c r="GT4" t="e">
        <f>AND(#REF!,"AAAAAE/8uck=")</f>
        <v>#REF!</v>
      </c>
      <c r="GU4" t="e">
        <f>AND(#REF!,"AAAAAE/8uco=")</f>
        <v>#REF!</v>
      </c>
      <c r="GV4" t="e">
        <f>AND(#REF!,"AAAAAE/8ucs=")</f>
        <v>#REF!</v>
      </c>
      <c r="GW4" t="e">
        <f>AND(#REF!,"AAAAAE/8ucw=")</f>
        <v>#REF!</v>
      </c>
      <c r="GX4" t="e">
        <f>AND(#REF!,"AAAAAE/8uc0=")</f>
        <v>#REF!</v>
      </c>
      <c r="GY4" t="e">
        <f>AND(#REF!,"AAAAAE/8uc4=")</f>
        <v>#REF!</v>
      </c>
      <c r="GZ4" t="e">
        <f>AND(#REF!,"AAAAAE/8uc8=")</f>
        <v>#REF!</v>
      </c>
      <c r="HA4" t="e">
        <f>AND(#REF!,"AAAAAE/8udA=")</f>
        <v>#REF!</v>
      </c>
      <c r="HB4" t="e">
        <f>AND(#REF!,"AAAAAE/8udE=")</f>
        <v>#REF!</v>
      </c>
      <c r="HC4" t="e">
        <f>AND(#REF!,"AAAAAE/8udI=")</f>
        <v>#REF!</v>
      </c>
      <c r="HD4" t="e">
        <f>AND(#REF!,"AAAAAE/8udM=")</f>
        <v>#REF!</v>
      </c>
      <c r="HE4" t="e">
        <f>AND(#REF!,"AAAAAE/8udQ=")</f>
        <v>#REF!</v>
      </c>
      <c r="HF4" t="e">
        <f>AND(#REF!,"AAAAAE/8udU=")</f>
        <v>#REF!</v>
      </c>
      <c r="HG4" t="e">
        <f>AND(#REF!,"AAAAAE/8udY=")</f>
        <v>#REF!</v>
      </c>
      <c r="HH4" t="e">
        <f>AND(#REF!,"AAAAAE/8udc=")</f>
        <v>#REF!</v>
      </c>
      <c r="HI4" t="e">
        <f>IF(#REF!,"AAAAAE/8udg=",0)</f>
        <v>#REF!</v>
      </c>
      <c r="HJ4" t="e">
        <f>AND(#REF!,"AAAAAE/8udk=")</f>
        <v>#REF!</v>
      </c>
      <c r="HK4" t="e">
        <f>AND(#REF!,"AAAAAE/8udo=")</f>
        <v>#REF!</v>
      </c>
      <c r="HL4" t="e">
        <f>AND(#REF!,"AAAAAE/8uds=")</f>
        <v>#REF!</v>
      </c>
      <c r="HM4" t="e">
        <f>AND(#REF!,"AAAAAE/8udw=")</f>
        <v>#REF!</v>
      </c>
      <c r="HN4" t="e">
        <f>AND(#REF!,"AAAAAE/8ud0=")</f>
        <v>#REF!</v>
      </c>
      <c r="HO4" t="e">
        <f>AND(#REF!,"AAAAAE/8ud4=")</f>
        <v>#REF!</v>
      </c>
      <c r="HP4" t="e">
        <f>AND(#REF!,"AAAAAE/8ud8=")</f>
        <v>#REF!</v>
      </c>
      <c r="HQ4" t="e">
        <f>AND(#REF!,"AAAAAE/8ueA=")</f>
        <v>#REF!</v>
      </c>
      <c r="HR4" t="e">
        <f>AND(#REF!,"AAAAAE/8ueE=")</f>
        <v>#REF!</v>
      </c>
      <c r="HS4" t="e">
        <f>AND(#REF!,"AAAAAE/8ueI=")</f>
        <v>#REF!</v>
      </c>
      <c r="HT4" t="e">
        <f>AND(#REF!,"AAAAAE/8ueM=")</f>
        <v>#REF!</v>
      </c>
      <c r="HU4" t="e">
        <f>AND(#REF!,"AAAAAE/8ueQ=")</f>
        <v>#REF!</v>
      </c>
      <c r="HV4" t="e">
        <f>AND(#REF!,"AAAAAE/8ueU=")</f>
        <v>#REF!</v>
      </c>
      <c r="HW4" t="e">
        <f>AND(#REF!,"AAAAAE/8ueY=")</f>
        <v>#REF!</v>
      </c>
      <c r="HX4" t="e">
        <f>AND(#REF!,"AAAAAE/8uec=")</f>
        <v>#REF!</v>
      </c>
      <c r="HY4" t="e">
        <f>AND(#REF!,"AAAAAE/8ueg=")</f>
        <v>#REF!</v>
      </c>
      <c r="HZ4" t="e">
        <f>AND(#REF!,"AAAAAE/8uek=")</f>
        <v>#REF!</v>
      </c>
      <c r="IA4" t="e">
        <f>AND(#REF!,"AAAAAE/8ueo=")</f>
        <v>#REF!</v>
      </c>
      <c r="IB4" t="e">
        <f>AND(#REF!,"AAAAAE/8ues=")</f>
        <v>#REF!</v>
      </c>
      <c r="IC4" t="e">
        <f>AND(#REF!,"AAAAAE/8uew=")</f>
        <v>#REF!</v>
      </c>
      <c r="ID4" t="e">
        <f>AND(#REF!,"AAAAAE/8ue0=")</f>
        <v>#REF!</v>
      </c>
      <c r="IE4" t="e">
        <f>AND(#REF!,"AAAAAE/8ue4=")</f>
        <v>#REF!</v>
      </c>
      <c r="IF4" t="e">
        <f>AND(#REF!,"AAAAAE/8ue8=")</f>
        <v>#REF!</v>
      </c>
      <c r="IG4" t="e">
        <f>IF(#REF!,"AAAAAE/8ufA=",0)</f>
        <v>#REF!</v>
      </c>
      <c r="IH4" t="e">
        <f>AND(#REF!,"AAAAAE/8ufE=")</f>
        <v>#REF!</v>
      </c>
      <c r="II4" t="e">
        <f>AND(#REF!,"AAAAAE/8ufI=")</f>
        <v>#REF!</v>
      </c>
      <c r="IJ4" t="e">
        <f>AND(#REF!,"AAAAAE/8ufM=")</f>
        <v>#REF!</v>
      </c>
      <c r="IK4" t="e">
        <f>AND(#REF!,"AAAAAE/8ufQ=")</f>
        <v>#REF!</v>
      </c>
      <c r="IL4" t="e">
        <f>AND(#REF!,"AAAAAE/8ufU=")</f>
        <v>#REF!</v>
      </c>
      <c r="IM4" t="e">
        <f>AND(#REF!,"AAAAAE/8ufY=")</f>
        <v>#REF!</v>
      </c>
      <c r="IN4" t="e">
        <f>AND(#REF!,"AAAAAE/8ufc=")</f>
        <v>#REF!</v>
      </c>
      <c r="IO4" t="e">
        <f>AND(#REF!,"AAAAAE/8ufg=")</f>
        <v>#REF!</v>
      </c>
      <c r="IP4" t="e">
        <f>AND(#REF!,"AAAAAE/8ufk=")</f>
        <v>#REF!</v>
      </c>
      <c r="IQ4" t="e">
        <f>AND(#REF!,"AAAAAE/8ufo=")</f>
        <v>#REF!</v>
      </c>
      <c r="IR4" t="e">
        <f>AND(#REF!,"AAAAAE/8ufs=")</f>
        <v>#REF!</v>
      </c>
      <c r="IS4" t="e">
        <f>AND(#REF!,"AAAAAE/8ufw=")</f>
        <v>#REF!</v>
      </c>
      <c r="IT4" t="e">
        <f>AND(#REF!,"AAAAAE/8uf0=")</f>
        <v>#REF!</v>
      </c>
      <c r="IU4" t="e">
        <f>AND(#REF!,"AAAAAE/8uf4=")</f>
        <v>#REF!</v>
      </c>
      <c r="IV4" t="e">
        <f>AND(#REF!,"AAAAAE/8uf8=")</f>
        <v>#REF!</v>
      </c>
    </row>
    <row r="5" spans="1:256" x14ac:dyDescent="0.25">
      <c r="A5" t="e">
        <f>AND(#REF!,"AAAAAG7GaQA=")</f>
        <v>#REF!</v>
      </c>
      <c r="B5" t="e">
        <f>AND(#REF!,"AAAAAG7GaQE=")</f>
        <v>#REF!</v>
      </c>
      <c r="C5" t="e">
        <f>AND(#REF!,"AAAAAG7GaQI=")</f>
        <v>#REF!</v>
      </c>
      <c r="D5" t="e">
        <f>AND(#REF!,"AAAAAG7GaQM=")</f>
        <v>#REF!</v>
      </c>
      <c r="E5" t="e">
        <f>AND(#REF!,"AAAAAG7GaQQ=")</f>
        <v>#REF!</v>
      </c>
      <c r="F5" t="e">
        <f>AND(#REF!,"AAAAAG7GaQU=")</f>
        <v>#REF!</v>
      </c>
      <c r="G5" t="e">
        <f>AND(#REF!,"AAAAAG7GaQY=")</f>
        <v>#REF!</v>
      </c>
      <c r="H5" t="e">
        <f>AND(#REF!,"AAAAAG7GaQc=")</f>
        <v>#REF!</v>
      </c>
      <c r="I5" t="e">
        <f>IF(#REF!,"AAAAAG7GaQg=",0)</f>
        <v>#REF!</v>
      </c>
      <c r="J5" t="e">
        <f>AND(#REF!,"AAAAAG7GaQk=")</f>
        <v>#REF!</v>
      </c>
      <c r="K5" t="e">
        <f>AND(#REF!,"AAAAAG7GaQo=")</f>
        <v>#REF!</v>
      </c>
      <c r="L5" t="e">
        <f>AND(#REF!,"AAAAAG7GaQs=")</f>
        <v>#REF!</v>
      </c>
      <c r="M5" t="e">
        <f>AND(#REF!,"AAAAAG7GaQw=")</f>
        <v>#REF!</v>
      </c>
      <c r="N5" t="e">
        <f>AND(#REF!,"AAAAAG7GaQ0=")</f>
        <v>#REF!</v>
      </c>
      <c r="O5" t="e">
        <f>AND(#REF!,"AAAAAG7GaQ4=")</f>
        <v>#REF!</v>
      </c>
      <c r="P5" t="e">
        <f>AND(#REF!,"AAAAAG7GaQ8=")</f>
        <v>#REF!</v>
      </c>
      <c r="Q5" t="e">
        <f>AND(#REF!,"AAAAAG7GaRA=")</f>
        <v>#REF!</v>
      </c>
      <c r="R5" t="e">
        <f>AND(#REF!,"AAAAAG7GaRE=")</f>
        <v>#REF!</v>
      </c>
      <c r="S5" t="e">
        <f>AND(#REF!,"AAAAAG7GaRI=")</f>
        <v>#REF!</v>
      </c>
      <c r="T5" t="e">
        <f>AND(#REF!,"AAAAAG7GaRM=")</f>
        <v>#REF!</v>
      </c>
      <c r="U5" t="e">
        <f>AND(#REF!,"AAAAAG7GaRQ=")</f>
        <v>#REF!</v>
      </c>
      <c r="V5" t="e">
        <f>AND(#REF!,"AAAAAG7GaRU=")</f>
        <v>#REF!</v>
      </c>
      <c r="W5" t="e">
        <f>AND(#REF!,"AAAAAG7GaRY=")</f>
        <v>#REF!</v>
      </c>
      <c r="X5" t="e">
        <f>AND(#REF!,"AAAAAG7GaRc=")</f>
        <v>#REF!</v>
      </c>
      <c r="Y5" t="e">
        <f>AND(#REF!,"AAAAAG7GaRg=")</f>
        <v>#REF!</v>
      </c>
      <c r="Z5" t="e">
        <f>AND(#REF!,"AAAAAG7GaRk=")</f>
        <v>#REF!</v>
      </c>
      <c r="AA5" t="e">
        <f>AND(#REF!,"AAAAAG7GaRo=")</f>
        <v>#REF!</v>
      </c>
      <c r="AB5" t="e">
        <f>AND(#REF!,"AAAAAG7GaRs=")</f>
        <v>#REF!</v>
      </c>
      <c r="AC5" t="e">
        <f>AND(#REF!,"AAAAAG7GaRw=")</f>
        <v>#REF!</v>
      </c>
      <c r="AD5" t="e">
        <f>AND(#REF!,"AAAAAG7GaR0=")</f>
        <v>#REF!</v>
      </c>
      <c r="AE5" t="e">
        <f>AND(#REF!,"AAAAAG7GaR4=")</f>
        <v>#REF!</v>
      </c>
      <c r="AF5" t="e">
        <f>AND(#REF!,"AAAAAG7GaR8=")</f>
        <v>#REF!</v>
      </c>
      <c r="AG5" t="e">
        <f>IF(#REF!,"AAAAAG7GaSA=",0)</f>
        <v>#REF!</v>
      </c>
      <c r="AH5" t="e">
        <f>AND(#REF!,"AAAAAG7GaSE=")</f>
        <v>#REF!</v>
      </c>
      <c r="AI5" t="e">
        <f>AND(#REF!,"AAAAAG7GaSI=")</f>
        <v>#REF!</v>
      </c>
      <c r="AJ5" t="e">
        <f>AND(#REF!,"AAAAAG7GaSM=")</f>
        <v>#REF!</v>
      </c>
      <c r="AK5" t="e">
        <f>AND(#REF!,"AAAAAG7GaSQ=")</f>
        <v>#REF!</v>
      </c>
      <c r="AL5" t="e">
        <f>AND(#REF!,"AAAAAG7GaSU=")</f>
        <v>#REF!</v>
      </c>
      <c r="AM5" t="e">
        <f>AND(#REF!,"AAAAAG7GaSY=")</f>
        <v>#REF!</v>
      </c>
      <c r="AN5" t="e">
        <f>AND(#REF!,"AAAAAG7GaSc=")</f>
        <v>#REF!</v>
      </c>
      <c r="AO5" t="e">
        <f>AND(#REF!,"AAAAAG7GaSg=")</f>
        <v>#REF!</v>
      </c>
      <c r="AP5" t="e">
        <f>AND(#REF!,"AAAAAG7GaSk=")</f>
        <v>#REF!</v>
      </c>
      <c r="AQ5" t="e">
        <f>AND(#REF!,"AAAAAG7GaSo=")</f>
        <v>#REF!</v>
      </c>
      <c r="AR5" t="e">
        <f>AND(#REF!,"AAAAAG7GaSs=")</f>
        <v>#REF!</v>
      </c>
      <c r="AS5" t="e">
        <f>AND(#REF!,"AAAAAG7GaSw=")</f>
        <v>#REF!</v>
      </c>
      <c r="AT5" t="e">
        <f>AND(#REF!,"AAAAAG7GaS0=")</f>
        <v>#REF!</v>
      </c>
      <c r="AU5" t="e">
        <f>AND(#REF!,"AAAAAG7GaS4=")</f>
        <v>#REF!</v>
      </c>
      <c r="AV5" t="e">
        <f>AND(#REF!,"AAAAAG7GaS8=")</f>
        <v>#REF!</v>
      </c>
      <c r="AW5" t="e">
        <f>AND(#REF!,"AAAAAG7GaTA=")</f>
        <v>#REF!</v>
      </c>
      <c r="AX5" t="e">
        <f>AND(#REF!,"AAAAAG7GaTE=")</f>
        <v>#REF!</v>
      </c>
      <c r="AY5" t="e">
        <f>AND(#REF!,"AAAAAG7GaTI=")</f>
        <v>#REF!</v>
      </c>
      <c r="AZ5" t="e">
        <f>AND(#REF!,"AAAAAG7GaTM=")</f>
        <v>#REF!</v>
      </c>
      <c r="BA5" t="e">
        <f>AND(#REF!,"AAAAAG7GaTQ=")</f>
        <v>#REF!</v>
      </c>
      <c r="BB5" t="e">
        <f>AND(#REF!,"AAAAAG7GaTU=")</f>
        <v>#REF!</v>
      </c>
      <c r="BC5" t="e">
        <f>AND(#REF!,"AAAAAG7GaTY=")</f>
        <v>#REF!</v>
      </c>
      <c r="BD5" t="e">
        <f>AND(#REF!,"AAAAAG7GaTc=")</f>
        <v>#REF!</v>
      </c>
      <c r="BE5" t="e">
        <f>IF(#REF!,"AAAAAG7GaTg=",0)</f>
        <v>#REF!</v>
      </c>
      <c r="BF5" t="e">
        <f>AND(#REF!,"AAAAAG7GaTk=")</f>
        <v>#REF!</v>
      </c>
      <c r="BG5" t="e">
        <f>AND(#REF!,"AAAAAG7GaTo=")</f>
        <v>#REF!</v>
      </c>
      <c r="BH5" t="e">
        <f>AND(#REF!,"AAAAAG7GaTs=")</f>
        <v>#REF!</v>
      </c>
      <c r="BI5" t="e">
        <f>AND(#REF!,"AAAAAG7GaTw=")</f>
        <v>#REF!</v>
      </c>
      <c r="BJ5" t="e">
        <f>AND(#REF!,"AAAAAG7GaT0=")</f>
        <v>#REF!</v>
      </c>
      <c r="BK5" t="e">
        <f>AND(#REF!,"AAAAAG7GaT4=")</f>
        <v>#REF!</v>
      </c>
      <c r="BL5" t="e">
        <f>AND(#REF!,"AAAAAG7GaT8=")</f>
        <v>#REF!</v>
      </c>
      <c r="BM5" t="e">
        <f>AND(#REF!,"AAAAAG7GaUA=")</f>
        <v>#REF!</v>
      </c>
      <c r="BN5" t="e">
        <f>AND(#REF!,"AAAAAG7GaUE=")</f>
        <v>#REF!</v>
      </c>
      <c r="BO5" t="e">
        <f>AND(#REF!,"AAAAAG7GaUI=")</f>
        <v>#REF!</v>
      </c>
      <c r="BP5" t="e">
        <f>AND(#REF!,"AAAAAG7GaUM=")</f>
        <v>#REF!</v>
      </c>
      <c r="BQ5" t="e">
        <f>AND(#REF!,"AAAAAG7GaUQ=")</f>
        <v>#REF!</v>
      </c>
      <c r="BR5" t="e">
        <f>AND(#REF!,"AAAAAG7GaUU=")</f>
        <v>#REF!</v>
      </c>
      <c r="BS5" t="e">
        <f>AND(#REF!,"AAAAAG7GaUY=")</f>
        <v>#REF!</v>
      </c>
      <c r="BT5" t="e">
        <f>AND(#REF!,"AAAAAG7GaUc=")</f>
        <v>#REF!</v>
      </c>
      <c r="BU5" t="e">
        <f>AND(#REF!,"AAAAAG7GaUg=")</f>
        <v>#REF!</v>
      </c>
      <c r="BV5" t="e">
        <f>AND(#REF!,"AAAAAG7GaUk=")</f>
        <v>#REF!</v>
      </c>
      <c r="BW5" t="e">
        <f>AND(#REF!,"AAAAAG7GaUo=")</f>
        <v>#REF!</v>
      </c>
      <c r="BX5" t="e">
        <f>AND(#REF!,"AAAAAG7GaUs=")</f>
        <v>#REF!</v>
      </c>
      <c r="BY5" t="e">
        <f>AND(#REF!,"AAAAAG7GaUw=")</f>
        <v>#REF!</v>
      </c>
      <c r="BZ5" t="e">
        <f>AND(#REF!,"AAAAAG7GaU0=")</f>
        <v>#REF!</v>
      </c>
      <c r="CA5" t="e">
        <f>AND(#REF!,"AAAAAG7GaU4=")</f>
        <v>#REF!</v>
      </c>
      <c r="CB5" t="e">
        <f>AND(#REF!,"AAAAAG7GaU8=")</f>
        <v>#REF!</v>
      </c>
      <c r="CC5" t="e">
        <f>IF(#REF!,"AAAAAG7GaVA=",0)</f>
        <v>#REF!</v>
      </c>
      <c r="CD5" t="e">
        <f>AND(#REF!,"AAAAAG7GaVE=")</f>
        <v>#REF!</v>
      </c>
      <c r="CE5" t="e">
        <f>AND(#REF!,"AAAAAG7GaVI=")</f>
        <v>#REF!</v>
      </c>
      <c r="CF5" t="e">
        <f>AND(#REF!,"AAAAAG7GaVM=")</f>
        <v>#REF!</v>
      </c>
      <c r="CG5" t="e">
        <f>AND(#REF!,"AAAAAG7GaVQ=")</f>
        <v>#REF!</v>
      </c>
      <c r="CH5" t="e">
        <f>AND(#REF!,"AAAAAG7GaVU=")</f>
        <v>#REF!</v>
      </c>
      <c r="CI5" t="e">
        <f>AND(#REF!,"AAAAAG7GaVY=")</f>
        <v>#REF!</v>
      </c>
      <c r="CJ5" t="e">
        <f>AND(#REF!,"AAAAAG7GaVc=")</f>
        <v>#REF!</v>
      </c>
      <c r="CK5" t="e">
        <f>AND(#REF!,"AAAAAG7GaVg=")</f>
        <v>#REF!</v>
      </c>
      <c r="CL5" t="e">
        <f>AND(#REF!,"AAAAAG7GaVk=")</f>
        <v>#REF!</v>
      </c>
      <c r="CM5" t="e">
        <f>AND(#REF!,"AAAAAG7GaVo=")</f>
        <v>#REF!</v>
      </c>
      <c r="CN5" t="e">
        <f>AND(#REF!,"AAAAAG7GaVs=")</f>
        <v>#REF!</v>
      </c>
      <c r="CO5" t="e">
        <f>AND(#REF!,"AAAAAG7GaVw=")</f>
        <v>#REF!</v>
      </c>
      <c r="CP5" t="e">
        <f>AND(#REF!,"AAAAAG7GaV0=")</f>
        <v>#REF!</v>
      </c>
      <c r="CQ5" t="e">
        <f>AND(#REF!,"AAAAAG7GaV4=")</f>
        <v>#REF!</v>
      </c>
      <c r="CR5" t="e">
        <f>AND(#REF!,"AAAAAG7GaV8=")</f>
        <v>#REF!</v>
      </c>
      <c r="CS5" t="e">
        <f>AND(#REF!,"AAAAAG7GaWA=")</f>
        <v>#REF!</v>
      </c>
      <c r="CT5" t="e">
        <f>AND(#REF!,"AAAAAG7GaWE=")</f>
        <v>#REF!</v>
      </c>
      <c r="CU5" t="e">
        <f>AND(#REF!,"AAAAAG7GaWI=")</f>
        <v>#REF!</v>
      </c>
      <c r="CV5" t="e">
        <f>AND(#REF!,"AAAAAG7GaWM=")</f>
        <v>#REF!</v>
      </c>
      <c r="CW5" t="e">
        <f>AND(#REF!,"AAAAAG7GaWQ=")</f>
        <v>#REF!</v>
      </c>
      <c r="CX5" t="e">
        <f>AND(#REF!,"AAAAAG7GaWU=")</f>
        <v>#REF!</v>
      </c>
      <c r="CY5" t="e">
        <f>AND(#REF!,"AAAAAG7GaWY=")</f>
        <v>#REF!</v>
      </c>
      <c r="CZ5" t="e">
        <f>AND(#REF!,"AAAAAG7GaWc=")</f>
        <v>#REF!</v>
      </c>
      <c r="DA5" t="e">
        <f>IF(#REF!,"AAAAAG7GaWg=",0)</f>
        <v>#REF!</v>
      </c>
      <c r="DB5" t="e">
        <f>AND(#REF!,"AAAAAG7GaWk=")</f>
        <v>#REF!</v>
      </c>
      <c r="DC5" t="e">
        <f>AND(#REF!,"AAAAAG7GaWo=")</f>
        <v>#REF!</v>
      </c>
      <c r="DD5" t="e">
        <f>AND(#REF!,"AAAAAG7GaWs=")</f>
        <v>#REF!</v>
      </c>
      <c r="DE5" t="e">
        <f>AND(#REF!,"AAAAAG7GaWw=")</f>
        <v>#REF!</v>
      </c>
      <c r="DF5" t="e">
        <f>AND(#REF!,"AAAAAG7GaW0=")</f>
        <v>#REF!</v>
      </c>
      <c r="DG5" t="e">
        <f>AND(#REF!,"AAAAAG7GaW4=")</f>
        <v>#REF!</v>
      </c>
      <c r="DH5" t="e">
        <f>AND(#REF!,"AAAAAG7GaW8=")</f>
        <v>#REF!</v>
      </c>
      <c r="DI5" t="e">
        <f>AND(#REF!,"AAAAAG7GaXA=")</f>
        <v>#REF!</v>
      </c>
      <c r="DJ5" t="e">
        <f>AND(#REF!,"AAAAAG7GaXE=")</f>
        <v>#REF!</v>
      </c>
      <c r="DK5" t="e">
        <f>AND(#REF!,"AAAAAG7GaXI=")</f>
        <v>#REF!</v>
      </c>
      <c r="DL5" t="e">
        <f>AND(#REF!,"AAAAAG7GaXM=")</f>
        <v>#REF!</v>
      </c>
      <c r="DM5" t="e">
        <f>AND(#REF!,"AAAAAG7GaXQ=")</f>
        <v>#REF!</v>
      </c>
      <c r="DN5" t="e">
        <f>AND(#REF!,"AAAAAG7GaXU=")</f>
        <v>#REF!</v>
      </c>
      <c r="DO5" t="e">
        <f>AND(#REF!,"AAAAAG7GaXY=")</f>
        <v>#REF!</v>
      </c>
      <c r="DP5" t="e">
        <f>AND(#REF!,"AAAAAG7GaXc=")</f>
        <v>#REF!</v>
      </c>
      <c r="DQ5" t="e">
        <f>AND(#REF!,"AAAAAG7GaXg=")</f>
        <v>#REF!</v>
      </c>
      <c r="DR5" t="e">
        <f>AND(#REF!,"AAAAAG7GaXk=")</f>
        <v>#REF!</v>
      </c>
      <c r="DS5" t="e">
        <f>AND(#REF!,"AAAAAG7GaXo=")</f>
        <v>#REF!</v>
      </c>
      <c r="DT5" t="e">
        <f>AND(#REF!,"AAAAAG7GaXs=")</f>
        <v>#REF!</v>
      </c>
      <c r="DU5" t="e">
        <f>AND(#REF!,"AAAAAG7GaXw=")</f>
        <v>#REF!</v>
      </c>
      <c r="DV5" t="e">
        <f>AND(#REF!,"AAAAAG7GaX0=")</f>
        <v>#REF!</v>
      </c>
      <c r="DW5" t="e">
        <f>AND(#REF!,"AAAAAG7GaX4=")</f>
        <v>#REF!</v>
      </c>
      <c r="DX5" t="e">
        <f>AND(#REF!,"AAAAAG7GaX8=")</f>
        <v>#REF!</v>
      </c>
      <c r="DY5" t="e">
        <f>IF(#REF!,"AAAAAG7GaYA=",0)</f>
        <v>#REF!</v>
      </c>
      <c r="DZ5" t="e">
        <f>AND(#REF!,"AAAAAG7GaYE=")</f>
        <v>#REF!</v>
      </c>
      <c r="EA5" t="e">
        <f>AND(#REF!,"AAAAAG7GaYI=")</f>
        <v>#REF!</v>
      </c>
      <c r="EB5" t="e">
        <f>AND(#REF!,"AAAAAG7GaYM=")</f>
        <v>#REF!</v>
      </c>
      <c r="EC5" t="e">
        <f>AND(#REF!,"AAAAAG7GaYQ=")</f>
        <v>#REF!</v>
      </c>
      <c r="ED5" t="e">
        <f>AND(#REF!,"AAAAAG7GaYU=")</f>
        <v>#REF!</v>
      </c>
      <c r="EE5" t="e">
        <f>AND(#REF!,"AAAAAG7GaYY=")</f>
        <v>#REF!</v>
      </c>
      <c r="EF5" t="e">
        <f>AND(#REF!,"AAAAAG7GaYc=")</f>
        <v>#REF!</v>
      </c>
      <c r="EG5" t="e">
        <f>AND(#REF!,"AAAAAG7GaYg=")</f>
        <v>#REF!</v>
      </c>
      <c r="EH5" t="e">
        <f>AND(#REF!,"AAAAAG7GaYk=")</f>
        <v>#REF!</v>
      </c>
      <c r="EI5" t="e">
        <f>AND(#REF!,"AAAAAG7GaYo=")</f>
        <v>#REF!</v>
      </c>
      <c r="EJ5" t="e">
        <f>AND(#REF!,"AAAAAG7GaYs=")</f>
        <v>#REF!</v>
      </c>
      <c r="EK5" t="e">
        <f>AND(#REF!,"AAAAAG7GaYw=")</f>
        <v>#REF!</v>
      </c>
      <c r="EL5" t="e">
        <f>AND(#REF!,"AAAAAG7GaY0=")</f>
        <v>#REF!</v>
      </c>
      <c r="EM5" t="e">
        <f>AND(#REF!,"AAAAAG7GaY4=")</f>
        <v>#REF!</v>
      </c>
      <c r="EN5" t="e">
        <f>AND(#REF!,"AAAAAG7GaY8=")</f>
        <v>#REF!</v>
      </c>
      <c r="EO5" t="e">
        <f>AND(#REF!,"AAAAAG7GaZA=")</f>
        <v>#REF!</v>
      </c>
      <c r="EP5" t="e">
        <f>AND(#REF!,"AAAAAG7GaZE=")</f>
        <v>#REF!</v>
      </c>
      <c r="EQ5" t="e">
        <f>AND(#REF!,"AAAAAG7GaZI=")</f>
        <v>#REF!</v>
      </c>
      <c r="ER5" t="e">
        <f>AND(#REF!,"AAAAAG7GaZM=")</f>
        <v>#REF!</v>
      </c>
      <c r="ES5" t="e">
        <f>AND(#REF!,"AAAAAG7GaZQ=")</f>
        <v>#REF!</v>
      </c>
      <c r="ET5" t="e">
        <f>AND(#REF!,"AAAAAG7GaZU=")</f>
        <v>#REF!</v>
      </c>
      <c r="EU5" t="e">
        <f>AND(#REF!,"AAAAAG7GaZY=")</f>
        <v>#REF!</v>
      </c>
      <c r="EV5" t="e">
        <f>AND(#REF!,"AAAAAG7GaZc=")</f>
        <v>#REF!</v>
      </c>
      <c r="EW5" t="e">
        <f>IF(#REF!,"AAAAAG7GaZg=",0)</f>
        <v>#REF!</v>
      </c>
      <c r="EX5" t="e">
        <f>AND(#REF!,"AAAAAG7GaZk=")</f>
        <v>#REF!</v>
      </c>
      <c r="EY5" t="e">
        <f>AND(#REF!,"AAAAAG7GaZo=")</f>
        <v>#REF!</v>
      </c>
      <c r="EZ5" t="e">
        <f>AND(#REF!,"AAAAAG7GaZs=")</f>
        <v>#REF!</v>
      </c>
      <c r="FA5" t="e">
        <f>AND(#REF!,"AAAAAG7GaZw=")</f>
        <v>#REF!</v>
      </c>
      <c r="FB5" t="e">
        <f>AND(#REF!,"AAAAAG7GaZ0=")</f>
        <v>#REF!</v>
      </c>
      <c r="FC5" t="e">
        <f>AND(#REF!,"AAAAAG7GaZ4=")</f>
        <v>#REF!</v>
      </c>
      <c r="FD5" t="e">
        <f>AND(#REF!,"AAAAAG7GaZ8=")</f>
        <v>#REF!</v>
      </c>
      <c r="FE5" t="e">
        <f>AND(#REF!,"AAAAAG7GaaA=")</f>
        <v>#REF!</v>
      </c>
      <c r="FF5" t="e">
        <f>AND(#REF!,"AAAAAG7GaaE=")</f>
        <v>#REF!</v>
      </c>
      <c r="FG5" t="e">
        <f>AND(#REF!,"AAAAAG7GaaI=")</f>
        <v>#REF!</v>
      </c>
      <c r="FH5" t="e">
        <f>AND(#REF!,"AAAAAG7GaaM=")</f>
        <v>#REF!</v>
      </c>
      <c r="FI5" t="e">
        <f>AND(#REF!,"AAAAAG7GaaQ=")</f>
        <v>#REF!</v>
      </c>
      <c r="FJ5" t="e">
        <f>AND(#REF!,"AAAAAG7GaaU=")</f>
        <v>#REF!</v>
      </c>
      <c r="FK5" t="e">
        <f>AND(#REF!,"AAAAAG7GaaY=")</f>
        <v>#REF!</v>
      </c>
      <c r="FL5" t="e">
        <f>AND(#REF!,"AAAAAG7Gaac=")</f>
        <v>#REF!</v>
      </c>
      <c r="FM5" t="e">
        <f>AND(#REF!,"AAAAAG7Gaag=")</f>
        <v>#REF!</v>
      </c>
      <c r="FN5" t="e">
        <f>AND(#REF!,"AAAAAG7Gaak=")</f>
        <v>#REF!</v>
      </c>
      <c r="FO5" t="e">
        <f>AND(#REF!,"AAAAAG7Gaao=")</f>
        <v>#REF!</v>
      </c>
      <c r="FP5" t="e">
        <f>AND(#REF!,"AAAAAG7Gaas=")</f>
        <v>#REF!</v>
      </c>
      <c r="FQ5" t="e">
        <f>AND(#REF!,"AAAAAG7Gaaw=")</f>
        <v>#REF!</v>
      </c>
      <c r="FR5" t="e">
        <f>AND(#REF!,"AAAAAG7Gaa0=")</f>
        <v>#REF!</v>
      </c>
      <c r="FS5" t="e">
        <f>AND(#REF!,"AAAAAG7Gaa4=")</f>
        <v>#REF!</v>
      </c>
      <c r="FT5" t="e">
        <f>AND(#REF!,"AAAAAG7Gaa8=")</f>
        <v>#REF!</v>
      </c>
      <c r="FU5" t="e">
        <f>IF(#REF!,"AAAAAG7GabA=",0)</f>
        <v>#REF!</v>
      </c>
      <c r="FV5" t="e">
        <f>AND(#REF!,"AAAAAG7GabE=")</f>
        <v>#REF!</v>
      </c>
      <c r="FW5" t="e">
        <f>AND(#REF!,"AAAAAG7GabI=")</f>
        <v>#REF!</v>
      </c>
      <c r="FX5" t="e">
        <f>AND(#REF!,"AAAAAG7GabM=")</f>
        <v>#REF!</v>
      </c>
      <c r="FY5" t="e">
        <f>AND(#REF!,"AAAAAG7GabQ=")</f>
        <v>#REF!</v>
      </c>
      <c r="FZ5" t="e">
        <f>AND(#REF!,"AAAAAG7GabU=")</f>
        <v>#REF!</v>
      </c>
      <c r="GA5" t="e">
        <f>AND(#REF!,"AAAAAG7GabY=")</f>
        <v>#REF!</v>
      </c>
      <c r="GB5" t="e">
        <f>AND(#REF!,"AAAAAG7Gabc=")</f>
        <v>#REF!</v>
      </c>
      <c r="GC5" t="e">
        <f>AND(#REF!,"AAAAAG7Gabg=")</f>
        <v>#REF!</v>
      </c>
      <c r="GD5" t="e">
        <f>AND(#REF!,"AAAAAG7Gabk=")</f>
        <v>#REF!</v>
      </c>
      <c r="GE5" t="e">
        <f>AND(#REF!,"AAAAAG7Gabo=")</f>
        <v>#REF!</v>
      </c>
      <c r="GF5" t="e">
        <f>AND(#REF!,"AAAAAG7Gabs=")</f>
        <v>#REF!</v>
      </c>
      <c r="GG5" t="e">
        <f>AND(#REF!,"AAAAAG7Gabw=")</f>
        <v>#REF!</v>
      </c>
      <c r="GH5" t="e">
        <f>AND(#REF!,"AAAAAG7Gab0=")</f>
        <v>#REF!</v>
      </c>
      <c r="GI5" t="e">
        <f>AND(#REF!,"AAAAAG7Gab4=")</f>
        <v>#REF!</v>
      </c>
      <c r="GJ5" t="e">
        <f>AND(#REF!,"AAAAAG7Gab8=")</f>
        <v>#REF!</v>
      </c>
      <c r="GK5" t="e">
        <f>AND(#REF!,"AAAAAG7GacA=")</f>
        <v>#REF!</v>
      </c>
      <c r="GL5" t="e">
        <f>AND(#REF!,"AAAAAG7GacE=")</f>
        <v>#REF!</v>
      </c>
      <c r="GM5" t="e">
        <f>AND(#REF!,"AAAAAG7GacI=")</f>
        <v>#REF!</v>
      </c>
      <c r="GN5" t="e">
        <f>AND(#REF!,"AAAAAG7GacM=")</f>
        <v>#REF!</v>
      </c>
      <c r="GO5" t="e">
        <f>AND(#REF!,"AAAAAG7GacQ=")</f>
        <v>#REF!</v>
      </c>
      <c r="GP5" t="e">
        <f>AND(#REF!,"AAAAAG7GacU=")</f>
        <v>#REF!</v>
      </c>
      <c r="GQ5" t="e">
        <f>AND(#REF!,"AAAAAG7GacY=")</f>
        <v>#REF!</v>
      </c>
      <c r="GR5" t="e">
        <f>AND(#REF!,"AAAAAG7Gacc=")</f>
        <v>#REF!</v>
      </c>
      <c r="GS5" t="e">
        <f>IF(#REF!,"AAAAAG7Gacg=",0)</f>
        <v>#REF!</v>
      </c>
      <c r="GT5" t="e">
        <f>AND(#REF!,"AAAAAG7Gack=")</f>
        <v>#REF!</v>
      </c>
      <c r="GU5" t="e">
        <f>AND(#REF!,"AAAAAG7Gaco=")</f>
        <v>#REF!</v>
      </c>
      <c r="GV5" t="e">
        <f>AND(#REF!,"AAAAAG7Gacs=")</f>
        <v>#REF!</v>
      </c>
      <c r="GW5" t="e">
        <f>AND(#REF!,"AAAAAG7Gacw=")</f>
        <v>#REF!</v>
      </c>
      <c r="GX5" t="e">
        <f>AND(#REF!,"AAAAAG7Gac0=")</f>
        <v>#REF!</v>
      </c>
      <c r="GY5" t="e">
        <f>AND(#REF!,"AAAAAG7Gac4=")</f>
        <v>#REF!</v>
      </c>
      <c r="GZ5" t="e">
        <f>AND(#REF!,"AAAAAG7Gac8=")</f>
        <v>#REF!</v>
      </c>
      <c r="HA5" t="e">
        <f>AND(#REF!,"AAAAAG7GadA=")</f>
        <v>#REF!</v>
      </c>
      <c r="HB5" t="e">
        <f>AND(#REF!,"AAAAAG7GadE=")</f>
        <v>#REF!</v>
      </c>
      <c r="HC5" t="e">
        <f>AND(#REF!,"AAAAAG7GadI=")</f>
        <v>#REF!</v>
      </c>
      <c r="HD5" t="e">
        <f>AND(#REF!,"AAAAAG7GadM=")</f>
        <v>#REF!</v>
      </c>
      <c r="HE5" t="e">
        <f>AND(#REF!,"AAAAAG7GadQ=")</f>
        <v>#REF!</v>
      </c>
      <c r="HF5" t="e">
        <f>AND(#REF!,"AAAAAG7GadU=")</f>
        <v>#REF!</v>
      </c>
      <c r="HG5" t="e">
        <f>AND(#REF!,"AAAAAG7GadY=")</f>
        <v>#REF!</v>
      </c>
      <c r="HH5" t="e">
        <f>AND(#REF!,"AAAAAG7Gadc=")</f>
        <v>#REF!</v>
      </c>
      <c r="HI5" t="e">
        <f>AND(#REF!,"AAAAAG7Gadg=")</f>
        <v>#REF!</v>
      </c>
      <c r="HJ5" t="e">
        <f>AND(#REF!,"AAAAAG7Gadk=")</f>
        <v>#REF!</v>
      </c>
      <c r="HK5" t="e">
        <f>AND(#REF!,"AAAAAG7Gado=")</f>
        <v>#REF!</v>
      </c>
      <c r="HL5" t="e">
        <f>AND(#REF!,"AAAAAG7Gads=")</f>
        <v>#REF!</v>
      </c>
      <c r="HM5" t="e">
        <f>AND(#REF!,"AAAAAG7Gadw=")</f>
        <v>#REF!</v>
      </c>
      <c r="HN5" t="e">
        <f>AND(#REF!,"AAAAAG7Gad0=")</f>
        <v>#REF!</v>
      </c>
      <c r="HO5" t="e">
        <f>AND(#REF!,"AAAAAG7Gad4=")</f>
        <v>#REF!</v>
      </c>
      <c r="HP5" t="e">
        <f>AND(#REF!,"AAAAAG7Gad8=")</f>
        <v>#REF!</v>
      </c>
      <c r="HQ5" t="e">
        <f>IF(#REF!,"AAAAAG7GaeA=",0)</f>
        <v>#REF!</v>
      </c>
      <c r="HR5" t="e">
        <f>AND(#REF!,"AAAAAG7GaeE=")</f>
        <v>#REF!</v>
      </c>
      <c r="HS5" t="e">
        <f>AND(#REF!,"AAAAAG7GaeI=")</f>
        <v>#REF!</v>
      </c>
      <c r="HT5" t="e">
        <f>AND(#REF!,"AAAAAG7GaeM=")</f>
        <v>#REF!</v>
      </c>
      <c r="HU5" t="e">
        <f>AND(#REF!,"AAAAAG7GaeQ=")</f>
        <v>#REF!</v>
      </c>
      <c r="HV5" t="e">
        <f>AND(#REF!,"AAAAAG7GaeU=")</f>
        <v>#REF!</v>
      </c>
      <c r="HW5" t="e">
        <f>AND(#REF!,"AAAAAG7GaeY=")</f>
        <v>#REF!</v>
      </c>
      <c r="HX5" t="e">
        <f>AND(#REF!,"AAAAAG7Gaec=")</f>
        <v>#REF!</v>
      </c>
      <c r="HY5" t="e">
        <f>AND(#REF!,"AAAAAG7Gaeg=")</f>
        <v>#REF!</v>
      </c>
      <c r="HZ5" t="e">
        <f>AND(#REF!,"AAAAAG7Gaek=")</f>
        <v>#REF!</v>
      </c>
      <c r="IA5" t="e">
        <f>AND(#REF!,"AAAAAG7Gaeo=")</f>
        <v>#REF!</v>
      </c>
      <c r="IB5" t="e">
        <f>AND(#REF!,"AAAAAG7Gaes=")</f>
        <v>#REF!</v>
      </c>
      <c r="IC5" t="e">
        <f>AND(#REF!,"AAAAAG7Gaew=")</f>
        <v>#REF!</v>
      </c>
      <c r="ID5" t="e">
        <f>AND(#REF!,"AAAAAG7Gae0=")</f>
        <v>#REF!</v>
      </c>
      <c r="IE5" t="e">
        <f>AND(#REF!,"AAAAAG7Gae4=")</f>
        <v>#REF!</v>
      </c>
      <c r="IF5" t="e">
        <f>AND(#REF!,"AAAAAG7Gae8=")</f>
        <v>#REF!</v>
      </c>
      <c r="IG5" t="e">
        <f>AND(#REF!,"AAAAAG7GafA=")</f>
        <v>#REF!</v>
      </c>
      <c r="IH5" t="e">
        <f>AND(#REF!,"AAAAAG7GafE=")</f>
        <v>#REF!</v>
      </c>
      <c r="II5" t="e">
        <f>AND(#REF!,"AAAAAG7GafI=")</f>
        <v>#REF!</v>
      </c>
      <c r="IJ5" t="e">
        <f>AND(#REF!,"AAAAAG7GafM=")</f>
        <v>#REF!</v>
      </c>
      <c r="IK5" t="e">
        <f>AND(#REF!,"AAAAAG7GafQ=")</f>
        <v>#REF!</v>
      </c>
      <c r="IL5" t="e">
        <f>AND(#REF!,"AAAAAG7GafU=")</f>
        <v>#REF!</v>
      </c>
      <c r="IM5" t="e">
        <f>AND(#REF!,"AAAAAG7GafY=")</f>
        <v>#REF!</v>
      </c>
      <c r="IN5" t="e">
        <f>AND(#REF!,"AAAAAG7Gafc=")</f>
        <v>#REF!</v>
      </c>
      <c r="IO5" t="e">
        <f>IF(#REF!,"AAAAAG7Gafg=",0)</f>
        <v>#REF!</v>
      </c>
      <c r="IP5" t="e">
        <f>AND(#REF!,"AAAAAG7Gafk=")</f>
        <v>#REF!</v>
      </c>
      <c r="IQ5" t="e">
        <f>AND(#REF!,"AAAAAG7Gafo=")</f>
        <v>#REF!</v>
      </c>
      <c r="IR5" t="e">
        <f>AND(#REF!,"AAAAAG7Gafs=")</f>
        <v>#REF!</v>
      </c>
      <c r="IS5" t="e">
        <f>AND(#REF!,"AAAAAG7Gafw=")</f>
        <v>#REF!</v>
      </c>
      <c r="IT5" t="e">
        <f>AND(#REF!,"AAAAAG7Gaf0=")</f>
        <v>#REF!</v>
      </c>
      <c r="IU5" t="e">
        <f>AND(#REF!,"AAAAAG7Gaf4=")</f>
        <v>#REF!</v>
      </c>
      <c r="IV5" t="e">
        <f>AND(#REF!,"AAAAAG7Gaf8=")</f>
        <v>#REF!</v>
      </c>
    </row>
    <row r="6" spans="1:256" x14ac:dyDescent="0.25">
      <c r="A6" t="e">
        <f>AND(#REF!,"AAAAAHrrtgA=")</f>
        <v>#REF!</v>
      </c>
      <c r="B6" t="e">
        <f>AND(#REF!,"AAAAAHrrtgE=")</f>
        <v>#REF!</v>
      </c>
      <c r="C6" t="e">
        <f>AND(#REF!,"AAAAAHrrtgI=")</f>
        <v>#REF!</v>
      </c>
      <c r="D6" t="e">
        <f>AND(#REF!,"AAAAAHrrtgM=")</f>
        <v>#REF!</v>
      </c>
      <c r="E6" t="e">
        <f>AND(#REF!,"AAAAAHrrtgQ=")</f>
        <v>#REF!</v>
      </c>
      <c r="F6" t="e">
        <f>AND(#REF!,"AAAAAHrrtgU=")</f>
        <v>#REF!</v>
      </c>
      <c r="G6" t="e">
        <f>AND(#REF!,"AAAAAHrrtgY=")</f>
        <v>#REF!</v>
      </c>
      <c r="H6" t="e">
        <f>AND(#REF!,"AAAAAHrrtgc=")</f>
        <v>#REF!</v>
      </c>
      <c r="I6" t="e">
        <f>AND(#REF!,"AAAAAHrrtgg=")</f>
        <v>#REF!</v>
      </c>
      <c r="J6" t="e">
        <f>AND(#REF!,"AAAAAHrrtgk=")</f>
        <v>#REF!</v>
      </c>
      <c r="K6" t="e">
        <f>AND(#REF!,"AAAAAHrrtgo=")</f>
        <v>#REF!</v>
      </c>
      <c r="L6" t="e">
        <f>AND(#REF!,"AAAAAHrrtgs=")</f>
        <v>#REF!</v>
      </c>
      <c r="M6" t="e">
        <f>AND(#REF!,"AAAAAHrrtgw=")</f>
        <v>#REF!</v>
      </c>
      <c r="N6" t="e">
        <f>AND(#REF!,"AAAAAHrrtg0=")</f>
        <v>#REF!</v>
      </c>
      <c r="O6" t="e">
        <f>AND(#REF!,"AAAAAHrrtg4=")</f>
        <v>#REF!</v>
      </c>
      <c r="P6" t="e">
        <f>AND(#REF!,"AAAAAHrrtg8=")</f>
        <v>#REF!</v>
      </c>
      <c r="Q6" t="e">
        <f>IF(#REF!,"AAAAAHrrthA=",0)</f>
        <v>#REF!</v>
      </c>
      <c r="R6" t="e">
        <f>AND(#REF!,"AAAAAHrrthE=")</f>
        <v>#REF!</v>
      </c>
      <c r="S6" t="e">
        <f>AND(#REF!,"AAAAAHrrthI=")</f>
        <v>#REF!</v>
      </c>
      <c r="T6" t="e">
        <f>AND(#REF!,"AAAAAHrrthM=")</f>
        <v>#REF!</v>
      </c>
      <c r="U6" t="e">
        <f>AND(#REF!,"AAAAAHrrthQ=")</f>
        <v>#REF!</v>
      </c>
      <c r="V6" t="e">
        <f>AND(#REF!,"AAAAAHrrthU=")</f>
        <v>#REF!</v>
      </c>
      <c r="W6" t="e">
        <f>AND(#REF!,"AAAAAHrrthY=")</f>
        <v>#REF!</v>
      </c>
      <c r="X6" t="e">
        <f>AND(#REF!,"AAAAAHrrthc=")</f>
        <v>#REF!</v>
      </c>
      <c r="Y6" t="e">
        <f>AND(#REF!,"AAAAAHrrthg=")</f>
        <v>#REF!</v>
      </c>
      <c r="Z6" t="e">
        <f>AND(#REF!,"AAAAAHrrthk=")</f>
        <v>#REF!</v>
      </c>
      <c r="AA6" t="e">
        <f>AND(#REF!,"AAAAAHrrtho=")</f>
        <v>#REF!</v>
      </c>
      <c r="AB6" t="e">
        <f>AND(#REF!,"AAAAAHrrths=")</f>
        <v>#REF!</v>
      </c>
      <c r="AC6" t="e">
        <f>AND(#REF!,"AAAAAHrrthw=")</f>
        <v>#REF!</v>
      </c>
      <c r="AD6" t="e">
        <f>AND(#REF!,"AAAAAHrrth0=")</f>
        <v>#REF!</v>
      </c>
      <c r="AE6" t="e">
        <f>AND(#REF!,"AAAAAHrrth4=")</f>
        <v>#REF!</v>
      </c>
      <c r="AF6" t="e">
        <f>AND(#REF!,"AAAAAHrrth8=")</f>
        <v>#REF!</v>
      </c>
      <c r="AG6" t="e">
        <f>AND(#REF!,"AAAAAHrrtiA=")</f>
        <v>#REF!</v>
      </c>
      <c r="AH6" t="e">
        <f>AND(#REF!,"AAAAAHrrtiE=")</f>
        <v>#REF!</v>
      </c>
      <c r="AI6" t="e">
        <f>AND(#REF!,"AAAAAHrrtiI=")</f>
        <v>#REF!</v>
      </c>
      <c r="AJ6" t="e">
        <f>AND(#REF!,"AAAAAHrrtiM=")</f>
        <v>#REF!</v>
      </c>
      <c r="AK6" t="e">
        <f>AND(#REF!,"AAAAAHrrtiQ=")</f>
        <v>#REF!</v>
      </c>
      <c r="AL6" t="e">
        <f>AND(#REF!,"AAAAAHrrtiU=")</f>
        <v>#REF!</v>
      </c>
      <c r="AM6" t="e">
        <f>AND(#REF!,"AAAAAHrrtiY=")</f>
        <v>#REF!</v>
      </c>
      <c r="AN6" t="e">
        <f>AND(#REF!,"AAAAAHrrtic=")</f>
        <v>#REF!</v>
      </c>
      <c r="AO6" t="e">
        <f>IF(#REF!,"AAAAAHrrtig=",0)</f>
        <v>#REF!</v>
      </c>
      <c r="AP6" t="e">
        <f>AND(#REF!,"AAAAAHrrtik=")</f>
        <v>#REF!</v>
      </c>
      <c r="AQ6" t="e">
        <f>AND(#REF!,"AAAAAHrrtio=")</f>
        <v>#REF!</v>
      </c>
      <c r="AR6" t="e">
        <f>AND(#REF!,"AAAAAHrrtis=")</f>
        <v>#REF!</v>
      </c>
      <c r="AS6" t="e">
        <f>AND(#REF!,"AAAAAHrrtiw=")</f>
        <v>#REF!</v>
      </c>
      <c r="AT6" t="e">
        <f>AND(#REF!,"AAAAAHrrti0=")</f>
        <v>#REF!</v>
      </c>
      <c r="AU6" t="e">
        <f>AND(#REF!,"AAAAAHrrti4=")</f>
        <v>#REF!</v>
      </c>
      <c r="AV6" t="e">
        <f>AND(#REF!,"AAAAAHrrti8=")</f>
        <v>#REF!</v>
      </c>
      <c r="AW6" t="e">
        <f>AND(#REF!,"AAAAAHrrtjA=")</f>
        <v>#REF!</v>
      </c>
      <c r="AX6" t="e">
        <f>AND(#REF!,"AAAAAHrrtjE=")</f>
        <v>#REF!</v>
      </c>
      <c r="AY6" t="e">
        <f>AND(#REF!,"AAAAAHrrtjI=")</f>
        <v>#REF!</v>
      </c>
      <c r="AZ6" t="e">
        <f>AND(#REF!,"AAAAAHrrtjM=")</f>
        <v>#REF!</v>
      </c>
      <c r="BA6" t="e">
        <f>AND(#REF!,"AAAAAHrrtjQ=")</f>
        <v>#REF!</v>
      </c>
      <c r="BB6" t="e">
        <f>AND(#REF!,"AAAAAHrrtjU=")</f>
        <v>#REF!</v>
      </c>
      <c r="BC6" t="e">
        <f>AND(#REF!,"AAAAAHrrtjY=")</f>
        <v>#REF!</v>
      </c>
      <c r="BD6" t="e">
        <f>AND(#REF!,"AAAAAHrrtjc=")</f>
        <v>#REF!</v>
      </c>
      <c r="BE6" t="e">
        <f>AND(#REF!,"AAAAAHrrtjg=")</f>
        <v>#REF!</v>
      </c>
      <c r="BF6" t="e">
        <f>AND(#REF!,"AAAAAHrrtjk=")</f>
        <v>#REF!</v>
      </c>
      <c r="BG6" t="e">
        <f>AND(#REF!,"AAAAAHrrtjo=")</f>
        <v>#REF!</v>
      </c>
      <c r="BH6" t="e">
        <f>AND(#REF!,"AAAAAHrrtjs=")</f>
        <v>#REF!</v>
      </c>
      <c r="BI6" t="e">
        <f>AND(#REF!,"AAAAAHrrtjw=")</f>
        <v>#REF!</v>
      </c>
      <c r="BJ6" t="e">
        <f>AND(#REF!,"AAAAAHrrtj0=")</f>
        <v>#REF!</v>
      </c>
      <c r="BK6" t="e">
        <f>AND(#REF!,"AAAAAHrrtj4=")</f>
        <v>#REF!</v>
      </c>
      <c r="BL6" t="e">
        <f>AND(#REF!,"AAAAAHrrtj8=")</f>
        <v>#REF!</v>
      </c>
      <c r="BM6" t="e">
        <f>IF(#REF!,"AAAAAHrrtkA=",0)</f>
        <v>#REF!</v>
      </c>
      <c r="BN6" t="e">
        <f>AND(#REF!,"AAAAAHrrtkE=")</f>
        <v>#REF!</v>
      </c>
      <c r="BO6" t="e">
        <f>AND(#REF!,"AAAAAHrrtkI=")</f>
        <v>#REF!</v>
      </c>
      <c r="BP6" t="e">
        <f>AND(#REF!,"AAAAAHrrtkM=")</f>
        <v>#REF!</v>
      </c>
      <c r="BQ6" t="e">
        <f>AND(#REF!,"AAAAAHrrtkQ=")</f>
        <v>#REF!</v>
      </c>
      <c r="BR6" t="e">
        <f>AND(#REF!,"AAAAAHrrtkU=")</f>
        <v>#REF!</v>
      </c>
      <c r="BS6" t="e">
        <f>AND(#REF!,"AAAAAHrrtkY=")</f>
        <v>#REF!</v>
      </c>
      <c r="BT6" t="e">
        <f>AND(#REF!,"AAAAAHrrtkc=")</f>
        <v>#REF!</v>
      </c>
      <c r="BU6" t="e">
        <f>AND(#REF!,"AAAAAHrrtkg=")</f>
        <v>#REF!</v>
      </c>
      <c r="BV6" t="e">
        <f>AND(#REF!,"AAAAAHrrtkk=")</f>
        <v>#REF!</v>
      </c>
      <c r="BW6" t="e">
        <f>AND(#REF!,"AAAAAHrrtko=")</f>
        <v>#REF!</v>
      </c>
      <c r="BX6" t="e">
        <f>AND(#REF!,"AAAAAHrrtks=")</f>
        <v>#REF!</v>
      </c>
      <c r="BY6" t="e">
        <f>AND(#REF!,"AAAAAHrrtkw=")</f>
        <v>#REF!</v>
      </c>
      <c r="BZ6" t="e">
        <f>AND(#REF!,"AAAAAHrrtk0=")</f>
        <v>#REF!</v>
      </c>
      <c r="CA6" t="e">
        <f>AND(#REF!,"AAAAAHrrtk4=")</f>
        <v>#REF!</v>
      </c>
      <c r="CB6" t="e">
        <f>AND(#REF!,"AAAAAHrrtk8=")</f>
        <v>#REF!</v>
      </c>
      <c r="CC6" t="e">
        <f>AND(#REF!,"AAAAAHrrtlA=")</f>
        <v>#REF!</v>
      </c>
      <c r="CD6" t="e">
        <f>AND(#REF!,"AAAAAHrrtlE=")</f>
        <v>#REF!</v>
      </c>
      <c r="CE6" t="e">
        <f>AND(#REF!,"AAAAAHrrtlI=")</f>
        <v>#REF!</v>
      </c>
      <c r="CF6" t="e">
        <f>AND(#REF!,"AAAAAHrrtlM=")</f>
        <v>#REF!</v>
      </c>
      <c r="CG6" t="e">
        <f>AND(#REF!,"AAAAAHrrtlQ=")</f>
        <v>#REF!</v>
      </c>
      <c r="CH6" t="e">
        <f>AND(#REF!,"AAAAAHrrtlU=")</f>
        <v>#REF!</v>
      </c>
      <c r="CI6" t="e">
        <f>AND(#REF!,"AAAAAHrrtlY=")</f>
        <v>#REF!</v>
      </c>
      <c r="CJ6" t="e">
        <f>AND(#REF!,"AAAAAHrrtlc=")</f>
        <v>#REF!</v>
      </c>
      <c r="CK6" t="e">
        <f>IF(#REF!,"AAAAAHrrtlg=",0)</f>
        <v>#REF!</v>
      </c>
      <c r="CL6" t="e">
        <f>AND(#REF!,"AAAAAHrrtlk=")</f>
        <v>#REF!</v>
      </c>
      <c r="CM6" t="e">
        <f>AND(#REF!,"AAAAAHrrtlo=")</f>
        <v>#REF!</v>
      </c>
      <c r="CN6" t="e">
        <f>AND(#REF!,"AAAAAHrrtls=")</f>
        <v>#REF!</v>
      </c>
      <c r="CO6" t="e">
        <f>AND(#REF!,"AAAAAHrrtlw=")</f>
        <v>#REF!</v>
      </c>
      <c r="CP6" t="e">
        <f>AND(#REF!,"AAAAAHrrtl0=")</f>
        <v>#REF!</v>
      </c>
      <c r="CQ6" t="e">
        <f>AND(#REF!,"AAAAAHrrtl4=")</f>
        <v>#REF!</v>
      </c>
      <c r="CR6" t="e">
        <f>AND(#REF!,"AAAAAHrrtl8=")</f>
        <v>#REF!</v>
      </c>
      <c r="CS6" t="e">
        <f>AND(#REF!,"AAAAAHrrtmA=")</f>
        <v>#REF!</v>
      </c>
      <c r="CT6" t="e">
        <f>AND(#REF!,"AAAAAHrrtmE=")</f>
        <v>#REF!</v>
      </c>
      <c r="CU6" t="e">
        <f>AND(#REF!,"AAAAAHrrtmI=")</f>
        <v>#REF!</v>
      </c>
      <c r="CV6" t="e">
        <f>AND(#REF!,"AAAAAHrrtmM=")</f>
        <v>#REF!</v>
      </c>
      <c r="CW6" t="e">
        <f>AND(#REF!,"AAAAAHrrtmQ=")</f>
        <v>#REF!</v>
      </c>
      <c r="CX6" t="e">
        <f>AND(#REF!,"AAAAAHrrtmU=")</f>
        <v>#REF!</v>
      </c>
      <c r="CY6" t="e">
        <f>AND(#REF!,"AAAAAHrrtmY=")</f>
        <v>#REF!</v>
      </c>
      <c r="CZ6" t="e">
        <f>AND(#REF!,"AAAAAHrrtmc=")</f>
        <v>#REF!</v>
      </c>
      <c r="DA6" t="e">
        <f>AND(#REF!,"AAAAAHrrtmg=")</f>
        <v>#REF!</v>
      </c>
      <c r="DB6" t="e">
        <f>AND(#REF!,"AAAAAHrrtmk=")</f>
        <v>#REF!</v>
      </c>
      <c r="DC6" t="e">
        <f>AND(#REF!,"AAAAAHrrtmo=")</f>
        <v>#REF!</v>
      </c>
      <c r="DD6" t="e">
        <f>AND(#REF!,"AAAAAHrrtms=")</f>
        <v>#REF!</v>
      </c>
      <c r="DE6" t="e">
        <f>AND(#REF!,"AAAAAHrrtmw=")</f>
        <v>#REF!</v>
      </c>
      <c r="DF6" t="e">
        <f>AND(#REF!,"AAAAAHrrtm0=")</f>
        <v>#REF!</v>
      </c>
      <c r="DG6" t="e">
        <f>AND(#REF!,"AAAAAHrrtm4=")</f>
        <v>#REF!</v>
      </c>
      <c r="DH6" t="e">
        <f>AND(#REF!,"AAAAAHrrtm8=")</f>
        <v>#REF!</v>
      </c>
      <c r="DI6" t="e">
        <f>IF(#REF!,"AAAAAHrrtnA=",0)</f>
        <v>#REF!</v>
      </c>
      <c r="DJ6" t="e">
        <f>AND(#REF!,"AAAAAHrrtnE=")</f>
        <v>#REF!</v>
      </c>
      <c r="DK6" t="e">
        <f>AND(#REF!,"AAAAAHrrtnI=")</f>
        <v>#REF!</v>
      </c>
      <c r="DL6" t="e">
        <f>AND(#REF!,"AAAAAHrrtnM=")</f>
        <v>#REF!</v>
      </c>
      <c r="DM6" t="e">
        <f>AND(#REF!,"AAAAAHrrtnQ=")</f>
        <v>#REF!</v>
      </c>
      <c r="DN6" t="e">
        <f>AND(#REF!,"AAAAAHrrtnU=")</f>
        <v>#REF!</v>
      </c>
      <c r="DO6" t="e">
        <f>AND(#REF!,"AAAAAHrrtnY=")</f>
        <v>#REF!</v>
      </c>
      <c r="DP6" t="e">
        <f>AND(#REF!,"AAAAAHrrtnc=")</f>
        <v>#REF!</v>
      </c>
      <c r="DQ6" t="e">
        <f>AND(#REF!,"AAAAAHrrtng=")</f>
        <v>#REF!</v>
      </c>
      <c r="DR6" t="e">
        <f>AND(#REF!,"AAAAAHrrtnk=")</f>
        <v>#REF!</v>
      </c>
      <c r="DS6" t="e">
        <f>AND(#REF!,"AAAAAHrrtno=")</f>
        <v>#REF!</v>
      </c>
      <c r="DT6" t="e">
        <f>AND(#REF!,"AAAAAHrrtns=")</f>
        <v>#REF!</v>
      </c>
      <c r="DU6" t="e">
        <f>AND(#REF!,"AAAAAHrrtnw=")</f>
        <v>#REF!</v>
      </c>
      <c r="DV6" t="e">
        <f>AND(#REF!,"AAAAAHrrtn0=")</f>
        <v>#REF!</v>
      </c>
      <c r="DW6" t="e">
        <f>AND(#REF!,"AAAAAHrrtn4=")</f>
        <v>#REF!</v>
      </c>
      <c r="DX6" t="e">
        <f>AND(#REF!,"AAAAAHrrtn8=")</f>
        <v>#REF!</v>
      </c>
      <c r="DY6" t="e">
        <f>AND(#REF!,"AAAAAHrrtoA=")</f>
        <v>#REF!</v>
      </c>
      <c r="DZ6" t="e">
        <f>AND(#REF!,"AAAAAHrrtoE=")</f>
        <v>#REF!</v>
      </c>
      <c r="EA6" t="e">
        <f>AND(#REF!,"AAAAAHrrtoI=")</f>
        <v>#REF!</v>
      </c>
      <c r="EB6" t="e">
        <f>AND(#REF!,"AAAAAHrrtoM=")</f>
        <v>#REF!</v>
      </c>
      <c r="EC6" t="e">
        <f>AND(#REF!,"AAAAAHrrtoQ=")</f>
        <v>#REF!</v>
      </c>
      <c r="ED6" t="e">
        <f>AND(#REF!,"AAAAAHrrtoU=")</f>
        <v>#REF!</v>
      </c>
      <c r="EE6" t="e">
        <f>AND(#REF!,"AAAAAHrrtoY=")</f>
        <v>#REF!</v>
      </c>
      <c r="EF6" t="e">
        <f>AND(#REF!,"AAAAAHrrtoc=")</f>
        <v>#REF!</v>
      </c>
      <c r="EG6" t="e">
        <f>IF(#REF!,"AAAAAHrrtog=",0)</f>
        <v>#REF!</v>
      </c>
      <c r="EH6" t="e">
        <f>AND(#REF!,"AAAAAHrrtok=")</f>
        <v>#REF!</v>
      </c>
      <c r="EI6" t="e">
        <f>AND(#REF!,"AAAAAHrrtoo=")</f>
        <v>#REF!</v>
      </c>
      <c r="EJ6" t="e">
        <f>AND(#REF!,"AAAAAHrrtos=")</f>
        <v>#REF!</v>
      </c>
      <c r="EK6" t="e">
        <f>AND(#REF!,"AAAAAHrrtow=")</f>
        <v>#REF!</v>
      </c>
      <c r="EL6" t="e">
        <f>AND(#REF!,"AAAAAHrrto0=")</f>
        <v>#REF!</v>
      </c>
      <c r="EM6" t="e">
        <f>AND(#REF!,"AAAAAHrrto4=")</f>
        <v>#REF!</v>
      </c>
      <c r="EN6" t="e">
        <f>AND(#REF!,"AAAAAHrrto8=")</f>
        <v>#REF!</v>
      </c>
      <c r="EO6" t="e">
        <f>AND(#REF!,"AAAAAHrrtpA=")</f>
        <v>#REF!</v>
      </c>
      <c r="EP6" t="e">
        <f>AND(#REF!,"AAAAAHrrtpE=")</f>
        <v>#REF!</v>
      </c>
      <c r="EQ6" t="e">
        <f>AND(#REF!,"AAAAAHrrtpI=")</f>
        <v>#REF!</v>
      </c>
      <c r="ER6" t="e">
        <f>AND(#REF!,"AAAAAHrrtpM=")</f>
        <v>#REF!</v>
      </c>
      <c r="ES6" t="e">
        <f>AND(#REF!,"AAAAAHrrtpQ=")</f>
        <v>#REF!</v>
      </c>
      <c r="ET6" t="e">
        <f>AND(#REF!,"AAAAAHrrtpU=")</f>
        <v>#REF!</v>
      </c>
      <c r="EU6" t="e">
        <f>AND(#REF!,"AAAAAHrrtpY=")</f>
        <v>#REF!</v>
      </c>
      <c r="EV6" t="e">
        <f>AND(#REF!,"AAAAAHrrtpc=")</f>
        <v>#REF!</v>
      </c>
      <c r="EW6" t="e">
        <f>AND(#REF!,"AAAAAHrrtpg=")</f>
        <v>#REF!</v>
      </c>
      <c r="EX6" t="e">
        <f>AND(#REF!,"AAAAAHrrtpk=")</f>
        <v>#REF!</v>
      </c>
      <c r="EY6" t="e">
        <f>AND(#REF!,"AAAAAHrrtpo=")</f>
        <v>#REF!</v>
      </c>
      <c r="EZ6" t="e">
        <f>AND(#REF!,"AAAAAHrrtps=")</f>
        <v>#REF!</v>
      </c>
      <c r="FA6" t="e">
        <f>AND(#REF!,"AAAAAHrrtpw=")</f>
        <v>#REF!</v>
      </c>
      <c r="FB6" t="e">
        <f>AND(#REF!,"AAAAAHrrtp0=")</f>
        <v>#REF!</v>
      </c>
      <c r="FC6" t="e">
        <f>AND(#REF!,"AAAAAHrrtp4=")</f>
        <v>#REF!</v>
      </c>
      <c r="FD6" t="e">
        <f>AND(#REF!,"AAAAAHrrtp8=")</f>
        <v>#REF!</v>
      </c>
      <c r="FE6" t="e">
        <f>IF(#REF!,"AAAAAHrrtqA=",0)</f>
        <v>#REF!</v>
      </c>
      <c r="FF6" t="e">
        <f>AND(#REF!,"AAAAAHrrtqE=")</f>
        <v>#REF!</v>
      </c>
      <c r="FG6" t="e">
        <f>AND(#REF!,"AAAAAHrrtqI=")</f>
        <v>#REF!</v>
      </c>
      <c r="FH6" t="e">
        <f>AND(#REF!,"AAAAAHrrtqM=")</f>
        <v>#REF!</v>
      </c>
      <c r="FI6" t="e">
        <f>AND(#REF!,"AAAAAHrrtqQ=")</f>
        <v>#REF!</v>
      </c>
      <c r="FJ6" t="e">
        <f>AND(#REF!,"AAAAAHrrtqU=")</f>
        <v>#REF!</v>
      </c>
      <c r="FK6" t="e">
        <f>AND(#REF!,"AAAAAHrrtqY=")</f>
        <v>#REF!</v>
      </c>
      <c r="FL6" t="e">
        <f>AND(#REF!,"AAAAAHrrtqc=")</f>
        <v>#REF!</v>
      </c>
      <c r="FM6" t="e">
        <f>AND(#REF!,"AAAAAHrrtqg=")</f>
        <v>#REF!</v>
      </c>
      <c r="FN6" t="e">
        <f>AND(#REF!,"AAAAAHrrtqk=")</f>
        <v>#REF!</v>
      </c>
      <c r="FO6" t="e">
        <f>AND(#REF!,"AAAAAHrrtqo=")</f>
        <v>#REF!</v>
      </c>
      <c r="FP6" t="e">
        <f>AND(#REF!,"AAAAAHrrtqs=")</f>
        <v>#REF!</v>
      </c>
      <c r="FQ6" t="e">
        <f>AND(#REF!,"AAAAAHrrtqw=")</f>
        <v>#REF!</v>
      </c>
      <c r="FR6" t="e">
        <f>AND(#REF!,"AAAAAHrrtq0=")</f>
        <v>#REF!</v>
      </c>
      <c r="FS6" t="e">
        <f>AND(#REF!,"AAAAAHrrtq4=")</f>
        <v>#REF!</v>
      </c>
      <c r="FT6" t="e">
        <f>AND(#REF!,"AAAAAHrrtq8=")</f>
        <v>#REF!</v>
      </c>
      <c r="FU6" t="e">
        <f>AND(#REF!,"AAAAAHrrtrA=")</f>
        <v>#REF!</v>
      </c>
      <c r="FV6" t="e">
        <f>AND(#REF!,"AAAAAHrrtrE=")</f>
        <v>#REF!</v>
      </c>
      <c r="FW6" t="e">
        <f>AND(#REF!,"AAAAAHrrtrI=")</f>
        <v>#REF!</v>
      </c>
      <c r="FX6" t="e">
        <f>AND(#REF!,"AAAAAHrrtrM=")</f>
        <v>#REF!</v>
      </c>
      <c r="FY6" t="e">
        <f>AND(#REF!,"AAAAAHrrtrQ=")</f>
        <v>#REF!</v>
      </c>
      <c r="FZ6" t="e">
        <f>AND(#REF!,"AAAAAHrrtrU=")</f>
        <v>#REF!</v>
      </c>
      <c r="GA6" t="e">
        <f>AND(#REF!,"AAAAAHrrtrY=")</f>
        <v>#REF!</v>
      </c>
      <c r="GB6" t="e">
        <f>AND(#REF!,"AAAAAHrrtrc=")</f>
        <v>#REF!</v>
      </c>
      <c r="GC6" t="e">
        <f>IF(#REF!,"AAAAAHrrtrg=",0)</f>
        <v>#REF!</v>
      </c>
      <c r="GD6" t="e">
        <f>AND(#REF!,"AAAAAHrrtrk=")</f>
        <v>#REF!</v>
      </c>
      <c r="GE6" t="e">
        <f>AND(#REF!,"AAAAAHrrtro=")</f>
        <v>#REF!</v>
      </c>
      <c r="GF6" t="e">
        <f>AND(#REF!,"AAAAAHrrtrs=")</f>
        <v>#REF!</v>
      </c>
      <c r="GG6" t="e">
        <f>AND(#REF!,"AAAAAHrrtrw=")</f>
        <v>#REF!</v>
      </c>
      <c r="GH6" t="e">
        <f>AND(#REF!,"AAAAAHrrtr0=")</f>
        <v>#REF!</v>
      </c>
      <c r="GI6" t="e">
        <f>AND(#REF!,"AAAAAHrrtr4=")</f>
        <v>#REF!</v>
      </c>
      <c r="GJ6" t="e">
        <f>AND(#REF!,"AAAAAHrrtr8=")</f>
        <v>#REF!</v>
      </c>
      <c r="GK6" t="e">
        <f>AND(#REF!,"AAAAAHrrtsA=")</f>
        <v>#REF!</v>
      </c>
      <c r="GL6" t="e">
        <f>AND(#REF!,"AAAAAHrrtsE=")</f>
        <v>#REF!</v>
      </c>
      <c r="GM6" t="e">
        <f>AND(#REF!,"AAAAAHrrtsI=")</f>
        <v>#REF!</v>
      </c>
      <c r="GN6" t="e">
        <f>AND(#REF!,"AAAAAHrrtsM=")</f>
        <v>#REF!</v>
      </c>
      <c r="GO6" t="e">
        <f>AND(#REF!,"AAAAAHrrtsQ=")</f>
        <v>#REF!</v>
      </c>
      <c r="GP6" t="e">
        <f>AND(#REF!,"AAAAAHrrtsU=")</f>
        <v>#REF!</v>
      </c>
      <c r="GQ6" t="e">
        <f>AND(#REF!,"AAAAAHrrtsY=")</f>
        <v>#REF!</v>
      </c>
      <c r="GR6" t="e">
        <f>AND(#REF!,"AAAAAHrrtsc=")</f>
        <v>#REF!</v>
      </c>
      <c r="GS6" t="e">
        <f>AND(#REF!,"AAAAAHrrtsg=")</f>
        <v>#REF!</v>
      </c>
      <c r="GT6" t="e">
        <f>AND(#REF!,"AAAAAHrrtsk=")</f>
        <v>#REF!</v>
      </c>
      <c r="GU6" t="e">
        <f>AND(#REF!,"AAAAAHrrtso=")</f>
        <v>#REF!</v>
      </c>
      <c r="GV6" t="e">
        <f>AND(#REF!,"AAAAAHrrtss=")</f>
        <v>#REF!</v>
      </c>
      <c r="GW6" t="e">
        <f>AND(#REF!,"AAAAAHrrtsw=")</f>
        <v>#REF!</v>
      </c>
      <c r="GX6" t="e">
        <f>AND(#REF!,"AAAAAHrrts0=")</f>
        <v>#REF!</v>
      </c>
      <c r="GY6" t="e">
        <f>AND(#REF!,"AAAAAHrrts4=")</f>
        <v>#REF!</v>
      </c>
      <c r="GZ6" t="e">
        <f>AND(#REF!,"AAAAAHrrts8=")</f>
        <v>#REF!</v>
      </c>
      <c r="HA6" t="e">
        <f>IF(#REF!,"AAAAAHrrttA=",0)</f>
        <v>#REF!</v>
      </c>
      <c r="HB6" t="e">
        <f>AND(#REF!,"AAAAAHrrttE=")</f>
        <v>#REF!</v>
      </c>
      <c r="HC6" t="e">
        <f>AND(#REF!,"AAAAAHrrttI=")</f>
        <v>#REF!</v>
      </c>
      <c r="HD6" t="e">
        <f>AND(#REF!,"AAAAAHrrttM=")</f>
        <v>#REF!</v>
      </c>
      <c r="HE6" t="e">
        <f>AND(#REF!,"AAAAAHrrttQ=")</f>
        <v>#REF!</v>
      </c>
      <c r="HF6" t="e">
        <f>AND(#REF!,"AAAAAHrrttU=")</f>
        <v>#REF!</v>
      </c>
      <c r="HG6" t="e">
        <f>AND(#REF!,"AAAAAHrrttY=")</f>
        <v>#REF!</v>
      </c>
      <c r="HH6" t="e">
        <f>AND(#REF!,"AAAAAHrrttc=")</f>
        <v>#REF!</v>
      </c>
      <c r="HI6" t="e">
        <f>AND(#REF!,"AAAAAHrrttg=")</f>
        <v>#REF!</v>
      </c>
      <c r="HJ6" t="e">
        <f>AND(#REF!,"AAAAAHrrttk=")</f>
        <v>#REF!</v>
      </c>
      <c r="HK6" t="e">
        <f>AND(#REF!,"AAAAAHrrtto=")</f>
        <v>#REF!</v>
      </c>
      <c r="HL6" t="e">
        <f>AND(#REF!,"AAAAAHrrtts=")</f>
        <v>#REF!</v>
      </c>
      <c r="HM6" t="e">
        <f>AND(#REF!,"AAAAAHrrttw=")</f>
        <v>#REF!</v>
      </c>
      <c r="HN6" t="e">
        <f>AND(#REF!,"AAAAAHrrtt0=")</f>
        <v>#REF!</v>
      </c>
      <c r="HO6" t="e">
        <f>AND(#REF!,"AAAAAHrrtt4=")</f>
        <v>#REF!</v>
      </c>
      <c r="HP6" t="e">
        <f>AND(#REF!,"AAAAAHrrtt8=")</f>
        <v>#REF!</v>
      </c>
      <c r="HQ6" t="e">
        <f>AND(#REF!,"AAAAAHrrtuA=")</f>
        <v>#REF!</v>
      </c>
      <c r="HR6" t="e">
        <f>AND(#REF!,"AAAAAHrrtuE=")</f>
        <v>#REF!</v>
      </c>
      <c r="HS6" t="e">
        <f>AND(#REF!,"AAAAAHrrtuI=")</f>
        <v>#REF!</v>
      </c>
      <c r="HT6" t="e">
        <f>AND(#REF!,"AAAAAHrrtuM=")</f>
        <v>#REF!</v>
      </c>
      <c r="HU6" t="e">
        <f>AND(#REF!,"AAAAAHrrtuQ=")</f>
        <v>#REF!</v>
      </c>
      <c r="HV6" t="e">
        <f>AND(#REF!,"AAAAAHrrtuU=")</f>
        <v>#REF!</v>
      </c>
      <c r="HW6" t="e">
        <f>AND(#REF!,"AAAAAHrrtuY=")</f>
        <v>#REF!</v>
      </c>
      <c r="HX6" t="e">
        <f>AND(#REF!,"AAAAAHrrtuc=")</f>
        <v>#REF!</v>
      </c>
      <c r="HY6" t="e">
        <f>IF(#REF!,"AAAAAHrrtug=",0)</f>
        <v>#REF!</v>
      </c>
      <c r="HZ6" t="e">
        <f>AND(#REF!,"AAAAAHrrtuk=")</f>
        <v>#REF!</v>
      </c>
      <c r="IA6" t="e">
        <f>AND(#REF!,"AAAAAHrrtuo=")</f>
        <v>#REF!</v>
      </c>
      <c r="IB6" t="e">
        <f>AND(#REF!,"AAAAAHrrtus=")</f>
        <v>#REF!</v>
      </c>
      <c r="IC6" t="e">
        <f>AND(#REF!,"AAAAAHrrtuw=")</f>
        <v>#REF!</v>
      </c>
      <c r="ID6" t="e">
        <f>AND(#REF!,"AAAAAHrrtu0=")</f>
        <v>#REF!</v>
      </c>
      <c r="IE6" t="e">
        <f>AND(#REF!,"AAAAAHrrtu4=")</f>
        <v>#REF!</v>
      </c>
      <c r="IF6" t="e">
        <f>AND(#REF!,"AAAAAHrrtu8=")</f>
        <v>#REF!</v>
      </c>
      <c r="IG6" t="e">
        <f>AND(#REF!,"AAAAAHrrtvA=")</f>
        <v>#REF!</v>
      </c>
      <c r="IH6" t="e">
        <f>AND(#REF!,"AAAAAHrrtvE=")</f>
        <v>#REF!</v>
      </c>
      <c r="II6" t="e">
        <f>AND(#REF!,"AAAAAHrrtvI=")</f>
        <v>#REF!</v>
      </c>
      <c r="IJ6" t="e">
        <f>AND(#REF!,"AAAAAHrrtvM=")</f>
        <v>#REF!</v>
      </c>
      <c r="IK6" t="e">
        <f>AND(#REF!,"AAAAAHrrtvQ=")</f>
        <v>#REF!</v>
      </c>
      <c r="IL6" t="e">
        <f>AND(#REF!,"AAAAAHrrtvU=")</f>
        <v>#REF!</v>
      </c>
      <c r="IM6" t="e">
        <f>AND(#REF!,"AAAAAHrrtvY=")</f>
        <v>#REF!</v>
      </c>
      <c r="IN6" t="e">
        <f>AND(#REF!,"AAAAAHrrtvc=")</f>
        <v>#REF!</v>
      </c>
      <c r="IO6" t="e">
        <f>AND(#REF!,"AAAAAHrrtvg=")</f>
        <v>#REF!</v>
      </c>
      <c r="IP6" t="e">
        <f>AND(#REF!,"AAAAAHrrtvk=")</f>
        <v>#REF!</v>
      </c>
      <c r="IQ6" t="e">
        <f>AND(#REF!,"AAAAAHrrtvo=")</f>
        <v>#REF!</v>
      </c>
      <c r="IR6" t="e">
        <f>AND(#REF!,"AAAAAHrrtvs=")</f>
        <v>#REF!</v>
      </c>
      <c r="IS6" t="e">
        <f>AND(#REF!,"AAAAAHrrtvw=")</f>
        <v>#REF!</v>
      </c>
      <c r="IT6" t="e">
        <f>AND(#REF!,"AAAAAHrrtv0=")</f>
        <v>#REF!</v>
      </c>
      <c r="IU6" t="e">
        <f>AND(#REF!,"AAAAAHrrtv4=")</f>
        <v>#REF!</v>
      </c>
      <c r="IV6" t="e">
        <f>AND(#REF!,"AAAAAHrrtv8=")</f>
        <v>#REF!</v>
      </c>
    </row>
    <row r="7" spans="1:256" x14ac:dyDescent="0.25">
      <c r="A7" t="e">
        <f>IF(#REF!,"AAAAAE9/cgA=",0)</f>
        <v>#REF!</v>
      </c>
      <c r="B7" t="e">
        <f>AND(#REF!,"AAAAAE9/cgE=")</f>
        <v>#REF!</v>
      </c>
      <c r="C7" t="e">
        <f>AND(#REF!,"AAAAAE9/cgI=")</f>
        <v>#REF!</v>
      </c>
      <c r="D7" t="e">
        <f>AND(#REF!,"AAAAAE9/cgM=")</f>
        <v>#REF!</v>
      </c>
      <c r="E7" t="e">
        <f>AND(#REF!,"AAAAAE9/cgQ=")</f>
        <v>#REF!</v>
      </c>
      <c r="F7" t="e">
        <f>AND(#REF!,"AAAAAE9/cgU=")</f>
        <v>#REF!</v>
      </c>
      <c r="G7" t="e">
        <f>AND(#REF!,"AAAAAE9/cgY=")</f>
        <v>#REF!</v>
      </c>
      <c r="H7" t="e">
        <f>AND(#REF!,"AAAAAE9/cgc=")</f>
        <v>#REF!</v>
      </c>
      <c r="I7" t="e">
        <f>AND(#REF!,"AAAAAE9/cgg=")</f>
        <v>#REF!</v>
      </c>
      <c r="J7" t="e">
        <f>AND(#REF!,"AAAAAE9/cgk=")</f>
        <v>#REF!</v>
      </c>
      <c r="K7" t="e">
        <f>AND(#REF!,"AAAAAE9/cgo=")</f>
        <v>#REF!</v>
      </c>
      <c r="L7" t="e">
        <f>AND(#REF!,"AAAAAE9/cgs=")</f>
        <v>#REF!</v>
      </c>
      <c r="M7" t="e">
        <f>AND(#REF!,"AAAAAE9/cgw=")</f>
        <v>#REF!</v>
      </c>
      <c r="N7" t="e">
        <f>AND(#REF!,"AAAAAE9/cg0=")</f>
        <v>#REF!</v>
      </c>
      <c r="O7" t="e">
        <f>AND(#REF!,"AAAAAE9/cg4=")</f>
        <v>#REF!</v>
      </c>
      <c r="P7" t="e">
        <f>AND(#REF!,"AAAAAE9/cg8=")</f>
        <v>#REF!</v>
      </c>
      <c r="Q7" t="e">
        <f>AND(#REF!,"AAAAAE9/chA=")</f>
        <v>#REF!</v>
      </c>
      <c r="R7" t="e">
        <f>AND(#REF!,"AAAAAE9/chE=")</f>
        <v>#REF!</v>
      </c>
      <c r="S7" t="e">
        <f>AND(#REF!,"AAAAAE9/chI=")</f>
        <v>#REF!</v>
      </c>
      <c r="T7" t="e">
        <f>AND(#REF!,"AAAAAE9/chM=")</f>
        <v>#REF!</v>
      </c>
      <c r="U7" t="e">
        <f>AND(#REF!,"AAAAAE9/chQ=")</f>
        <v>#REF!</v>
      </c>
      <c r="V7" t="e">
        <f>AND(#REF!,"AAAAAE9/chU=")</f>
        <v>#REF!</v>
      </c>
      <c r="W7" t="e">
        <f>AND(#REF!,"AAAAAE9/chY=")</f>
        <v>#REF!</v>
      </c>
      <c r="X7" t="e">
        <f>AND(#REF!,"AAAAAE9/chc=")</f>
        <v>#REF!</v>
      </c>
      <c r="Y7" t="e">
        <f>IF(#REF!,"AAAAAE9/chg=",0)</f>
        <v>#REF!</v>
      </c>
      <c r="Z7" t="e">
        <f>AND(#REF!,"AAAAAE9/chk=")</f>
        <v>#REF!</v>
      </c>
      <c r="AA7" t="e">
        <f>AND(#REF!,"AAAAAE9/cho=")</f>
        <v>#REF!</v>
      </c>
      <c r="AB7" t="e">
        <f>AND(#REF!,"AAAAAE9/chs=")</f>
        <v>#REF!</v>
      </c>
      <c r="AC7" t="e">
        <f>AND(#REF!,"AAAAAE9/chw=")</f>
        <v>#REF!</v>
      </c>
      <c r="AD7" t="e">
        <f>AND(#REF!,"AAAAAE9/ch0=")</f>
        <v>#REF!</v>
      </c>
      <c r="AE7" t="e">
        <f>AND(#REF!,"AAAAAE9/ch4=")</f>
        <v>#REF!</v>
      </c>
      <c r="AF7" t="e">
        <f>AND(#REF!,"AAAAAE9/ch8=")</f>
        <v>#REF!</v>
      </c>
      <c r="AG7" t="e">
        <f>AND(#REF!,"AAAAAE9/ciA=")</f>
        <v>#REF!</v>
      </c>
      <c r="AH7" t="e">
        <f>AND(#REF!,"AAAAAE9/ciE=")</f>
        <v>#REF!</v>
      </c>
      <c r="AI7" t="e">
        <f>AND(#REF!,"AAAAAE9/ciI=")</f>
        <v>#REF!</v>
      </c>
      <c r="AJ7" t="e">
        <f>AND(#REF!,"AAAAAE9/ciM=")</f>
        <v>#REF!</v>
      </c>
      <c r="AK7" t="e">
        <f>AND(#REF!,"AAAAAE9/ciQ=")</f>
        <v>#REF!</v>
      </c>
      <c r="AL7" t="e">
        <f>AND(#REF!,"AAAAAE9/ciU=")</f>
        <v>#REF!</v>
      </c>
      <c r="AM7" t="e">
        <f>AND(#REF!,"AAAAAE9/ciY=")</f>
        <v>#REF!</v>
      </c>
      <c r="AN7" t="e">
        <f>AND(#REF!,"AAAAAE9/cic=")</f>
        <v>#REF!</v>
      </c>
      <c r="AO7" t="e">
        <f>AND(#REF!,"AAAAAE9/cig=")</f>
        <v>#REF!</v>
      </c>
      <c r="AP7" t="e">
        <f>AND(#REF!,"AAAAAE9/cik=")</f>
        <v>#REF!</v>
      </c>
      <c r="AQ7" t="e">
        <f>AND(#REF!,"AAAAAE9/cio=")</f>
        <v>#REF!</v>
      </c>
      <c r="AR7" t="e">
        <f>AND(#REF!,"AAAAAE9/cis=")</f>
        <v>#REF!</v>
      </c>
      <c r="AS7" t="e">
        <f>AND(#REF!,"AAAAAE9/ciw=")</f>
        <v>#REF!</v>
      </c>
      <c r="AT7" t="e">
        <f>AND(#REF!,"AAAAAE9/ci0=")</f>
        <v>#REF!</v>
      </c>
      <c r="AU7" t="e">
        <f>AND(#REF!,"AAAAAE9/ci4=")</f>
        <v>#REF!</v>
      </c>
      <c r="AV7" t="e">
        <f>AND(#REF!,"AAAAAE9/ci8=")</f>
        <v>#REF!</v>
      </c>
      <c r="AW7" t="e">
        <f>IF(#REF!,"AAAAAE9/cjA=",0)</f>
        <v>#REF!</v>
      </c>
      <c r="AX7" t="e">
        <f>AND(#REF!,"AAAAAE9/cjE=")</f>
        <v>#REF!</v>
      </c>
      <c r="AY7" t="e">
        <f>AND(#REF!,"AAAAAE9/cjI=")</f>
        <v>#REF!</v>
      </c>
      <c r="AZ7" t="e">
        <f>AND(#REF!,"AAAAAE9/cjM=")</f>
        <v>#REF!</v>
      </c>
      <c r="BA7" t="e">
        <f>AND(#REF!,"AAAAAE9/cjQ=")</f>
        <v>#REF!</v>
      </c>
      <c r="BB7" t="e">
        <f>AND(#REF!,"AAAAAE9/cjU=")</f>
        <v>#REF!</v>
      </c>
      <c r="BC7" t="e">
        <f>AND(#REF!,"AAAAAE9/cjY=")</f>
        <v>#REF!</v>
      </c>
      <c r="BD7" t="e">
        <f>AND(#REF!,"AAAAAE9/cjc=")</f>
        <v>#REF!</v>
      </c>
      <c r="BE7" t="e">
        <f>AND(#REF!,"AAAAAE9/cjg=")</f>
        <v>#REF!</v>
      </c>
      <c r="BF7" t="e">
        <f>AND(#REF!,"AAAAAE9/cjk=")</f>
        <v>#REF!</v>
      </c>
      <c r="BG7" t="e">
        <f>AND(#REF!,"AAAAAE9/cjo=")</f>
        <v>#REF!</v>
      </c>
      <c r="BH7" t="e">
        <f>AND(#REF!,"AAAAAE9/cjs=")</f>
        <v>#REF!</v>
      </c>
      <c r="BI7" t="e">
        <f>AND(#REF!,"AAAAAE9/cjw=")</f>
        <v>#REF!</v>
      </c>
      <c r="BJ7" t="e">
        <f>AND(#REF!,"AAAAAE9/cj0=")</f>
        <v>#REF!</v>
      </c>
      <c r="BK7" t="e">
        <f>AND(#REF!,"AAAAAE9/cj4=")</f>
        <v>#REF!</v>
      </c>
      <c r="BL7" t="e">
        <f>AND(#REF!,"AAAAAE9/cj8=")</f>
        <v>#REF!</v>
      </c>
      <c r="BM7" t="e">
        <f>AND(#REF!,"AAAAAE9/ckA=")</f>
        <v>#REF!</v>
      </c>
      <c r="BN7" t="e">
        <f>AND(#REF!,"AAAAAE9/ckE=")</f>
        <v>#REF!</v>
      </c>
      <c r="BO7" t="e">
        <f>AND(#REF!,"AAAAAE9/ckI=")</f>
        <v>#REF!</v>
      </c>
      <c r="BP7" t="e">
        <f>AND(#REF!,"AAAAAE9/ckM=")</f>
        <v>#REF!</v>
      </c>
      <c r="BQ7" t="e">
        <f>AND(#REF!,"AAAAAE9/ckQ=")</f>
        <v>#REF!</v>
      </c>
      <c r="BR7" t="e">
        <f>AND(#REF!,"AAAAAE9/ckU=")</f>
        <v>#REF!</v>
      </c>
      <c r="BS7" t="e">
        <f>AND(#REF!,"AAAAAE9/ckY=")</f>
        <v>#REF!</v>
      </c>
      <c r="BT7" t="e">
        <f>AND(#REF!,"AAAAAE9/ckc=")</f>
        <v>#REF!</v>
      </c>
      <c r="BU7" t="e">
        <f>IF(#REF!,"AAAAAE9/ckg=",0)</f>
        <v>#REF!</v>
      </c>
      <c r="BV7" t="e">
        <f>AND(#REF!,"AAAAAE9/ckk=")</f>
        <v>#REF!</v>
      </c>
      <c r="BW7" t="e">
        <f>AND(#REF!,"AAAAAE9/cko=")</f>
        <v>#REF!</v>
      </c>
      <c r="BX7" t="e">
        <f>AND(#REF!,"AAAAAE9/cks=")</f>
        <v>#REF!</v>
      </c>
      <c r="BY7" t="e">
        <f>AND(#REF!,"AAAAAE9/ckw=")</f>
        <v>#REF!</v>
      </c>
      <c r="BZ7" t="e">
        <f>AND(#REF!,"AAAAAE9/ck0=")</f>
        <v>#REF!</v>
      </c>
      <c r="CA7" t="e">
        <f>AND(#REF!,"AAAAAE9/ck4=")</f>
        <v>#REF!</v>
      </c>
      <c r="CB7" t="e">
        <f>AND(#REF!,"AAAAAE9/ck8=")</f>
        <v>#REF!</v>
      </c>
      <c r="CC7" t="e">
        <f>AND(#REF!,"AAAAAE9/clA=")</f>
        <v>#REF!</v>
      </c>
      <c r="CD7" t="e">
        <f>AND(#REF!,"AAAAAE9/clE=")</f>
        <v>#REF!</v>
      </c>
      <c r="CE7" t="e">
        <f>AND(#REF!,"AAAAAE9/clI=")</f>
        <v>#REF!</v>
      </c>
      <c r="CF7" t="e">
        <f>AND(#REF!,"AAAAAE9/clM=")</f>
        <v>#REF!</v>
      </c>
      <c r="CG7" t="e">
        <f>AND(#REF!,"AAAAAE9/clQ=")</f>
        <v>#REF!</v>
      </c>
      <c r="CH7" t="e">
        <f>AND(#REF!,"AAAAAE9/clU=")</f>
        <v>#REF!</v>
      </c>
      <c r="CI7" t="e">
        <f>AND(#REF!,"AAAAAE9/clY=")</f>
        <v>#REF!</v>
      </c>
      <c r="CJ7" t="e">
        <f>AND(#REF!,"AAAAAE9/clc=")</f>
        <v>#REF!</v>
      </c>
      <c r="CK7" t="e">
        <f>AND(#REF!,"AAAAAE9/clg=")</f>
        <v>#REF!</v>
      </c>
      <c r="CL7" t="e">
        <f>AND(#REF!,"AAAAAE9/clk=")</f>
        <v>#REF!</v>
      </c>
      <c r="CM7" t="e">
        <f>AND(#REF!,"AAAAAE9/clo=")</f>
        <v>#REF!</v>
      </c>
      <c r="CN7" t="e">
        <f>AND(#REF!,"AAAAAE9/cls=")</f>
        <v>#REF!</v>
      </c>
      <c r="CO7" t="e">
        <f>AND(#REF!,"AAAAAE9/clw=")</f>
        <v>#REF!</v>
      </c>
      <c r="CP7" t="e">
        <f>AND(#REF!,"AAAAAE9/cl0=")</f>
        <v>#REF!</v>
      </c>
      <c r="CQ7" t="e">
        <f>AND(#REF!,"AAAAAE9/cl4=")</f>
        <v>#REF!</v>
      </c>
      <c r="CR7" t="e">
        <f>AND(#REF!,"AAAAAE9/cl8=")</f>
        <v>#REF!</v>
      </c>
      <c r="CS7" t="e">
        <f>IF(#REF!,"AAAAAE9/cmA=",0)</f>
        <v>#REF!</v>
      </c>
      <c r="CT7" t="e">
        <f>AND(#REF!,"AAAAAE9/cmE=")</f>
        <v>#REF!</v>
      </c>
      <c r="CU7" t="e">
        <f>AND(#REF!,"AAAAAE9/cmI=")</f>
        <v>#REF!</v>
      </c>
      <c r="CV7" t="e">
        <f>AND(#REF!,"AAAAAE9/cmM=")</f>
        <v>#REF!</v>
      </c>
      <c r="CW7" t="e">
        <f>AND(#REF!,"AAAAAE9/cmQ=")</f>
        <v>#REF!</v>
      </c>
      <c r="CX7" t="e">
        <f>AND(#REF!,"AAAAAE9/cmU=")</f>
        <v>#REF!</v>
      </c>
      <c r="CY7" t="e">
        <f>AND(#REF!,"AAAAAE9/cmY=")</f>
        <v>#REF!</v>
      </c>
      <c r="CZ7" t="e">
        <f>AND(#REF!,"AAAAAE9/cmc=")</f>
        <v>#REF!</v>
      </c>
      <c r="DA7" t="e">
        <f>AND(#REF!,"AAAAAE9/cmg=")</f>
        <v>#REF!</v>
      </c>
      <c r="DB7" t="e">
        <f>AND(#REF!,"AAAAAE9/cmk=")</f>
        <v>#REF!</v>
      </c>
      <c r="DC7" t="e">
        <f>AND(#REF!,"AAAAAE9/cmo=")</f>
        <v>#REF!</v>
      </c>
      <c r="DD7" t="e">
        <f>AND(#REF!,"AAAAAE9/cms=")</f>
        <v>#REF!</v>
      </c>
      <c r="DE7" t="e">
        <f>AND(#REF!,"AAAAAE9/cmw=")</f>
        <v>#REF!</v>
      </c>
      <c r="DF7" t="e">
        <f>AND(#REF!,"AAAAAE9/cm0=")</f>
        <v>#REF!</v>
      </c>
      <c r="DG7" t="e">
        <f>AND(#REF!,"AAAAAE9/cm4=")</f>
        <v>#REF!</v>
      </c>
      <c r="DH7" t="e">
        <f>AND(#REF!,"AAAAAE9/cm8=")</f>
        <v>#REF!</v>
      </c>
      <c r="DI7" t="e">
        <f>AND(#REF!,"AAAAAE9/cnA=")</f>
        <v>#REF!</v>
      </c>
      <c r="DJ7" t="e">
        <f>AND(#REF!,"AAAAAE9/cnE=")</f>
        <v>#REF!</v>
      </c>
      <c r="DK7" t="e">
        <f>AND(#REF!,"AAAAAE9/cnI=")</f>
        <v>#REF!</v>
      </c>
      <c r="DL7" t="e">
        <f>AND(#REF!,"AAAAAE9/cnM=")</f>
        <v>#REF!</v>
      </c>
      <c r="DM7" t="e">
        <f>AND(#REF!,"AAAAAE9/cnQ=")</f>
        <v>#REF!</v>
      </c>
      <c r="DN7" t="e">
        <f>AND(#REF!,"AAAAAE9/cnU=")</f>
        <v>#REF!</v>
      </c>
      <c r="DO7" t="e">
        <f>AND(#REF!,"AAAAAE9/cnY=")</f>
        <v>#REF!</v>
      </c>
      <c r="DP7" t="e">
        <f>AND(#REF!,"AAAAAE9/cnc=")</f>
        <v>#REF!</v>
      </c>
      <c r="DQ7" t="e">
        <f>IF(#REF!,"AAAAAE9/cng=",0)</f>
        <v>#REF!</v>
      </c>
      <c r="DR7" t="e">
        <f>AND(#REF!,"AAAAAE9/cnk=")</f>
        <v>#REF!</v>
      </c>
      <c r="DS7" t="e">
        <f>AND(#REF!,"AAAAAE9/cno=")</f>
        <v>#REF!</v>
      </c>
      <c r="DT7" t="e">
        <f>AND(#REF!,"AAAAAE9/cns=")</f>
        <v>#REF!</v>
      </c>
      <c r="DU7" t="e">
        <f>AND(#REF!,"AAAAAE9/cnw=")</f>
        <v>#REF!</v>
      </c>
      <c r="DV7" t="e">
        <f>AND(#REF!,"AAAAAE9/cn0=")</f>
        <v>#REF!</v>
      </c>
      <c r="DW7" t="e">
        <f>AND(#REF!,"AAAAAE9/cn4=")</f>
        <v>#REF!</v>
      </c>
      <c r="DX7" t="e">
        <f>AND(#REF!,"AAAAAE9/cn8=")</f>
        <v>#REF!</v>
      </c>
      <c r="DY7" t="e">
        <f>AND(#REF!,"AAAAAE9/coA=")</f>
        <v>#REF!</v>
      </c>
      <c r="DZ7" t="e">
        <f>AND(#REF!,"AAAAAE9/coE=")</f>
        <v>#REF!</v>
      </c>
      <c r="EA7" t="e">
        <f>AND(#REF!,"AAAAAE9/coI=")</f>
        <v>#REF!</v>
      </c>
      <c r="EB7" t="e">
        <f>AND(#REF!,"AAAAAE9/coM=")</f>
        <v>#REF!</v>
      </c>
      <c r="EC7" t="e">
        <f>AND(#REF!,"AAAAAE9/coQ=")</f>
        <v>#REF!</v>
      </c>
      <c r="ED7" t="e">
        <f>AND(#REF!,"AAAAAE9/coU=")</f>
        <v>#REF!</v>
      </c>
      <c r="EE7" t="e">
        <f>AND(#REF!,"AAAAAE9/coY=")</f>
        <v>#REF!</v>
      </c>
      <c r="EF7" t="e">
        <f>AND(#REF!,"AAAAAE9/coc=")</f>
        <v>#REF!</v>
      </c>
      <c r="EG7" t="e">
        <f>AND(#REF!,"AAAAAE9/cog=")</f>
        <v>#REF!</v>
      </c>
      <c r="EH7" t="e">
        <f>AND(#REF!,"AAAAAE9/cok=")</f>
        <v>#REF!</v>
      </c>
      <c r="EI7" t="e">
        <f>AND(#REF!,"AAAAAE9/coo=")</f>
        <v>#REF!</v>
      </c>
      <c r="EJ7" t="e">
        <f>AND(#REF!,"AAAAAE9/cos=")</f>
        <v>#REF!</v>
      </c>
      <c r="EK7" t="e">
        <f>AND(#REF!,"AAAAAE9/cow=")</f>
        <v>#REF!</v>
      </c>
      <c r="EL7" t="e">
        <f>AND(#REF!,"AAAAAE9/co0=")</f>
        <v>#REF!</v>
      </c>
      <c r="EM7" t="e">
        <f>AND(#REF!,"AAAAAE9/co4=")</f>
        <v>#REF!</v>
      </c>
      <c r="EN7" t="e">
        <f>AND(#REF!,"AAAAAE9/co8=")</f>
        <v>#REF!</v>
      </c>
      <c r="EO7" t="e">
        <f>IF(#REF!,"AAAAAE9/cpA=",0)</f>
        <v>#REF!</v>
      </c>
      <c r="EP7" t="e">
        <f>AND(#REF!,"AAAAAE9/cpE=")</f>
        <v>#REF!</v>
      </c>
      <c r="EQ7" t="e">
        <f>AND(#REF!,"AAAAAE9/cpI=")</f>
        <v>#REF!</v>
      </c>
      <c r="ER7" t="e">
        <f>AND(#REF!,"AAAAAE9/cpM=")</f>
        <v>#REF!</v>
      </c>
      <c r="ES7" t="e">
        <f>AND(#REF!,"AAAAAE9/cpQ=")</f>
        <v>#REF!</v>
      </c>
      <c r="ET7" t="e">
        <f>AND(#REF!,"AAAAAE9/cpU=")</f>
        <v>#REF!</v>
      </c>
      <c r="EU7" t="e">
        <f>AND(#REF!,"AAAAAE9/cpY=")</f>
        <v>#REF!</v>
      </c>
      <c r="EV7" t="e">
        <f>AND(#REF!,"AAAAAE9/cpc=")</f>
        <v>#REF!</v>
      </c>
      <c r="EW7" t="e">
        <f>AND(#REF!,"AAAAAE9/cpg=")</f>
        <v>#REF!</v>
      </c>
      <c r="EX7" t="e">
        <f>AND(#REF!,"AAAAAE9/cpk=")</f>
        <v>#REF!</v>
      </c>
      <c r="EY7" t="e">
        <f>AND(#REF!,"AAAAAE9/cpo=")</f>
        <v>#REF!</v>
      </c>
      <c r="EZ7" t="e">
        <f>AND(#REF!,"AAAAAE9/cps=")</f>
        <v>#REF!</v>
      </c>
      <c r="FA7" t="e">
        <f>AND(#REF!,"AAAAAE9/cpw=")</f>
        <v>#REF!</v>
      </c>
      <c r="FB7" t="e">
        <f>AND(#REF!,"AAAAAE9/cp0=")</f>
        <v>#REF!</v>
      </c>
      <c r="FC7" t="e">
        <f>AND(#REF!,"AAAAAE9/cp4=")</f>
        <v>#REF!</v>
      </c>
      <c r="FD7" t="e">
        <f>AND(#REF!,"AAAAAE9/cp8=")</f>
        <v>#REF!</v>
      </c>
      <c r="FE7" t="e">
        <f>AND(#REF!,"AAAAAE9/cqA=")</f>
        <v>#REF!</v>
      </c>
      <c r="FF7" t="e">
        <f>AND(#REF!,"AAAAAE9/cqE=")</f>
        <v>#REF!</v>
      </c>
      <c r="FG7" t="e">
        <f>AND(#REF!,"AAAAAE9/cqI=")</f>
        <v>#REF!</v>
      </c>
      <c r="FH7" t="e">
        <f>AND(#REF!,"AAAAAE9/cqM=")</f>
        <v>#REF!</v>
      </c>
      <c r="FI7" t="e">
        <f>AND(#REF!,"AAAAAE9/cqQ=")</f>
        <v>#REF!</v>
      </c>
      <c r="FJ7" t="e">
        <f>AND(#REF!,"AAAAAE9/cqU=")</f>
        <v>#REF!</v>
      </c>
      <c r="FK7" t="e">
        <f>AND(#REF!,"AAAAAE9/cqY=")</f>
        <v>#REF!</v>
      </c>
      <c r="FL7" t="e">
        <f>AND(#REF!,"AAAAAE9/cqc=")</f>
        <v>#REF!</v>
      </c>
      <c r="FM7" t="e">
        <f>IF(#REF!,"AAAAAE9/cqg=",0)</f>
        <v>#REF!</v>
      </c>
      <c r="FN7" t="e">
        <f>AND(#REF!,"AAAAAE9/cqk=")</f>
        <v>#REF!</v>
      </c>
      <c r="FO7" t="e">
        <f>AND(#REF!,"AAAAAE9/cqo=")</f>
        <v>#REF!</v>
      </c>
      <c r="FP7" t="e">
        <f>AND(#REF!,"AAAAAE9/cqs=")</f>
        <v>#REF!</v>
      </c>
      <c r="FQ7" t="e">
        <f>AND(#REF!,"AAAAAE9/cqw=")</f>
        <v>#REF!</v>
      </c>
      <c r="FR7" t="e">
        <f>AND(#REF!,"AAAAAE9/cq0=")</f>
        <v>#REF!</v>
      </c>
      <c r="FS7" t="e">
        <f>AND(#REF!,"AAAAAE9/cq4=")</f>
        <v>#REF!</v>
      </c>
      <c r="FT7" t="e">
        <f>AND(#REF!,"AAAAAE9/cq8=")</f>
        <v>#REF!</v>
      </c>
      <c r="FU7" t="e">
        <f>AND(#REF!,"AAAAAE9/crA=")</f>
        <v>#REF!</v>
      </c>
      <c r="FV7" t="e">
        <f>AND(#REF!,"AAAAAE9/crE=")</f>
        <v>#REF!</v>
      </c>
      <c r="FW7" t="e">
        <f>AND(#REF!,"AAAAAE9/crI=")</f>
        <v>#REF!</v>
      </c>
      <c r="FX7" t="e">
        <f>AND(#REF!,"AAAAAE9/crM=")</f>
        <v>#REF!</v>
      </c>
      <c r="FY7" t="e">
        <f>AND(#REF!,"AAAAAE9/crQ=")</f>
        <v>#REF!</v>
      </c>
      <c r="FZ7" t="e">
        <f>AND(#REF!,"AAAAAE9/crU=")</f>
        <v>#REF!</v>
      </c>
      <c r="GA7" t="e">
        <f>AND(#REF!,"AAAAAE9/crY=")</f>
        <v>#REF!</v>
      </c>
      <c r="GB7" t="e">
        <f>AND(#REF!,"AAAAAE9/crc=")</f>
        <v>#REF!</v>
      </c>
      <c r="GC7" t="e">
        <f>AND(#REF!,"AAAAAE9/crg=")</f>
        <v>#REF!</v>
      </c>
      <c r="GD7" t="e">
        <f>AND(#REF!,"AAAAAE9/crk=")</f>
        <v>#REF!</v>
      </c>
      <c r="GE7" t="e">
        <f>AND(#REF!,"AAAAAE9/cro=")</f>
        <v>#REF!</v>
      </c>
      <c r="GF7" t="e">
        <f>AND(#REF!,"AAAAAE9/crs=")</f>
        <v>#REF!</v>
      </c>
      <c r="GG7" t="e">
        <f>AND(#REF!,"AAAAAE9/crw=")</f>
        <v>#REF!</v>
      </c>
      <c r="GH7" t="e">
        <f>AND(#REF!,"AAAAAE9/cr0=")</f>
        <v>#REF!</v>
      </c>
      <c r="GI7" t="e">
        <f>AND(#REF!,"AAAAAE9/cr4=")</f>
        <v>#REF!</v>
      </c>
      <c r="GJ7" t="e">
        <f>AND(#REF!,"AAAAAE9/cr8=")</f>
        <v>#REF!</v>
      </c>
      <c r="GK7" t="e">
        <f>IF(#REF!,"AAAAAE9/csA=",0)</f>
        <v>#REF!</v>
      </c>
      <c r="GL7" t="e">
        <f>AND(#REF!,"AAAAAE9/csE=")</f>
        <v>#REF!</v>
      </c>
      <c r="GM7" t="e">
        <f>AND(#REF!,"AAAAAE9/csI=")</f>
        <v>#REF!</v>
      </c>
      <c r="GN7" t="e">
        <f>AND(#REF!,"AAAAAE9/csM=")</f>
        <v>#REF!</v>
      </c>
      <c r="GO7" t="e">
        <f>AND(#REF!,"AAAAAE9/csQ=")</f>
        <v>#REF!</v>
      </c>
      <c r="GP7" t="e">
        <f>AND(#REF!,"AAAAAE9/csU=")</f>
        <v>#REF!</v>
      </c>
      <c r="GQ7" t="e">
        <f>AND(#REF!,"AAAAAE9/csY=")</f>
        <v>#REF!</v>
      </c>
      <c r="GR7" t="e">
        <f>AND(#REF!,"AAAAAE9/csc=")</f>
        <v>#REF!</v>
      </c>
      <c r="GS7" t="e">
        <f>AND(#REF!,"AAAAAE9/csg=")</f>
        <v>#REF!</v>
      </c>
      <c r="GT7" t="e">
        <f>AND(#REF!,"AAAAAE9/csk=")</f>
        <v>#REF!</v>
      </c>
      <c r="GU7" t="e">
        <f>AND(#REF!,"AAAAAE9/cso=")</f>
        <v>#REF!</v>
      </c>
      <c r="GV7" t="e">
        <f>AND(#REF!,"AAAAAE9/css=")</f>
        <v>#REF!</v>
      </c>
      <c r="GW7" t="e">
        <f>AND(#REF!,"AAAAAE9/csw=")</f>
        <v>#REF!</v>
      </c>
      <c r="GX7" t="e">
        <f>AND(#REF!,"AAAAAE9/cs0=")</f>
        <v>#REF!</v>
      </c>
      <c r="GY7" t="e">
        <f>AND(#REF!,"AAAAAE9/cs4=")</f>
        <v>#REF!</v>
      </c>
      <c r="GZ7" t="e">
        <f>AND(#REF!,"AAAAAE9/cs8=")</f>
        <v>#REF!</v>
      </c>
      <c r="HA7" t="e">
        <f>AND(#REF!,"AAAAAE9/ctA=")</f>
        <v>#REF!</v>
      </c>
      <c r="HB7" t="e">
        <f>AND(#REF!,"AAAAAE9/ctE=")</f>
        <v>#REF!</v>
      </c>
      <c r="HC7" t="e">
        <f>AND(#REF!,"AAAAAE9/ctI=")</f>
        <v>#REF!</v>
      </c>
      <c r="HD7" t="e">
        <f>AND(#REF!,"AAAAAE9/ctM=")</f>
        <v>#REF!</v>
      </c>
      <c r="HE7" t="e">
        <f>AND(#REF!,"AAAAAE9/ctQ=")</f>
        <v>#REF!</v>
      </c>
      <c r="HF7" t="e">
        <f>AND(#REF!,"AAAAAE9/ctU=")</f>
        <v>#REF!</v>
      </c>
      <c r="HG7" t="e">
        <f>AND(#REF!,"AAAAAE9/ctY=")</f>
        <v>#REF!</v>
      </c>
      <c r="HH7" t="e">
        <f>AND(#REF!,"AAAAAE9/ctc=")</f>
        <v>#REF!</v>
      </c>
      <c r="HI7" t="e">
        <f>IF(#REF!,"AAAAAE9/ctg=",0)</f>
        <v>#REF!</v>
      </c>
      <c r="HJ7" t="e">
        <f>AND(#REF!,"AAAAAE9/ctk=")</f>
        <v>#REF!</v>
      </c>
      <c r="HK7" t="e">
        <f>AND(#REF!,"AAAAAE9/cto=")</f>
        <v>#REF!</v>
      </c>
      <c r="HL7" t="e">
        <f>AND(#REF!,"AAAAAE9/cts=")</f>
        <v>#REF!</v>
      </c>
      <c r="HM7" t="e">
        <f>AND(#REF!,"AAAAAE9/ctw=")</f>
        <v>#REF!</v>
      </c>
      <c r="HN7" t="e">
        <f>AND(#REF!,"AAAAAE9/ct0=")</f>
        <v>#REF!</v>
      </c>
      <c r="HO7" t="e">
        <f>AND(#REF!,"AAAAAE9/ct4=")</f>
        <v>#REF!</v>
      </c>
      <c r="HP7" t="e">
        <f>AND(#REF!,"AAAAAE9/ct8=")</f>
        <v>#REF!</v>
      </c>
      <c r="HQ7" t="e">
        <f>AND(#REF!,"AAAAAE9/cuA=")</f>
        <v>#REF!</v>
      </c>
      <c r="HR7" t="e">
        <f>AND(#REF!,"AAAAAE9/cuE=")</f>
        <v>#REF!</v>
      </c>
      <c r="HS7" t="e">
        <f>AND(#REF!,"AAAAAE9/cuI=")</f>
        <v>#REF!</v>
      </c>
      <c r="HT7" t="e">
        <f>AND(#REF!,"AAAAAE9/cuM=")</f>
        <v>#REF!</v>
      </c>
      <c r="HU7" t="e">
        <f>AND(#REF!,"AAAAAE9/cuQ=")</f>
        <v>#REF!</v>
      </c>
      <c r="HV7" t="e">
        <f>AND(#REF!,"AAAAAE9/cuU=")</f>
        <v>#REF!</v>
      </c>
      <c r="HW7" t="e">
        <f>AND(#REF!,"AAAAAE9/cuY=")</f>
        <v>#REF!</v>
      </c>
      <c r="HX7" t="e">
        <f>AND(#REF!,"AAAAAE9/cuc=")</f>
        <v>#REF!</v>
      </c>
      <c r="HY7" t="e">
        <f>AND(#REF!,"AAAAAE9/cug=")</f>
        <v>#REF!</v>
      </c>
      <c r="HZ7" t="e">
        <f>AND(#REF!,"AAAAAE9/cuk=")</f>
        <v>#REF!</v>
      </c>
      <c r="IA7" t="e">
        <f>AND(#REF!,"AAAAAE9/cuo=")</f>
        <v>#REF!</v>
      </c>
      <c r="IB7" t="e">
        <f>AND(#REF!,"AAAAAE9/cus=")</f>
        <v>#REF!</v>
      </c>
      <c r="IC7" t="e">
        <f>AND(#REF!,"AAAAAE9/cuw=")</f>
        <v>#REF!</v>
      </c>
      <c r="ID7" t="e">
        <f>AND(#REF!,"AAAAAE9/cu0=")</f>
        <v>#REF!</v>
      </c>
      <c r="IE7" t="e">
        <f>AND(#REF!,"AAAAAE9/cu4=")</f>
        <v>#REF!</v>
      </c>
      <c r="IF7" t="e">
        <f>AND(#REF!,"AAAAAE9/cu8=")</f>
        <v>#REF!</v>
      </c>
      <c r="IG7" t="e">
        <f>IF(#REF!,"AAAAAE9/cvA=",0)</f>
        <v>#REF!</v>
      </c>
      <c r="IH7" t="e">
        <f>AND(#REF!,"AAAAAE9/cvE=")</f>
        <v>#REF!</v>
      </c>
      <c r="II7" t="e">
        <f>AND(#REF!,"AAAAAE9/cvI=")</f>
        <v>#REF!</v>
      </c>
      <c r="IJ7" t="e">
        <f>AND(#REF!,"AAAAAE9/cvM=")</f>
        <v>#REF!</v>
      </c>
      <c r="IK7" t="e">
        <f>AND(#REF!,"AAAAAE9/cvQ=")</f>
        <v>#REF!</v>
      </c>
      <c r="IL7" t="e">
        <f>AND(#REF!,"AAAAAE9/cvU=")</f>
        <v>#REF!</v>
      </c>
      <c r="IM7" t="e">
        <f>AND(#REF!,"AAAAAE9/cvY=")</f>
        <v>#REF!</v>
      </c>
      <c r="IN7" t="e">
        <f>AND(#REF!,"AAAAAE9/cvc=")</f>
        <v>#REF!</v>
      </c>
      <c r="IO7" t="e">
        <f>AND(#REF!,"AAAAAE9/cvg=")</f>
        <v>#REF!</v>
      </c>
      <c r="IP7" t="e">
        <f>AND(#REF!,"AAAAAE9/cvk=")</f>
        <v>#REF!</v>
      </c>
      <c r="IQ7" t="e">
        <f>AND(#REF!,"AAAAAE9/cvo=")</f>
        <v>#REF!</v>
      </c>
      <c r="IR7" t="e">
        <f>AND(#REF!,"AAAAAE9/cvs=")</f>
        <v>#REF!</v>
      </c>
      <c r="IS7" t="e">
        <f>AND(#REF!,"AAAAAE9/cvw=")</f>
        <v>#REF!</v>
      </c>
      <c r="IT7" t="e">
        <f>AND(#REF!,"AAAAAE9/cv0=")</f>
        <v>#REF!</v>
      </c>
      <c r="IU7" t="e">
        <f>AND(#REF!,"AAAAAE9/cv4=")</f>
        <v>#REF!</v>
      </c>
      <c r="IV7" t="e">
        <f>AND(#REF!,"AAAAAE9/cv8=")</f>
        <v>#REF!</v>
      </c>
    </row>
    <row r="8" spans="1:256" x14ac:dyDescent="0.25">
      <c r="A8" t="e">
        <f>AND(#REF!,"AAAAAD+tCAA=")</f>
        <v>#REF!</v>
      </c>
      <c r="B8" t="e">
        <f>AND(#REF!,"AAAAAD+tCAE=")</f>
        <v>#REF!</v>
      </c>
      <c r="C8" t="e">
        <f>AND(#REF!,"AAAAAD+tCAI=")</f>
        <v>#REF!</v>
      </c>
      <c r="D8" t="e">
        <f>AND(#REF!,"AAAAAD+tCAM=")</f>
        <v>#REF!</v>
      </c>
      <c r="E8" t="e">
        <f>AND(#REF!,"AAAAAD+tCAQ=")</f>
        <v>#REF!</v>
      </c>
      <c r="F8" t="e">
        <f>AND(#REF!,"AAAAAD+tCAU=")</f>
        <v>#REF!</v>
      </c>
      <c r="G8" t="e">
        <f>AND(#REF!,"AAAAAD+tCAY=")</f>
        <v>#REF!</v>
      </c>
      <c r="H8" t="e">
        <f>AND(#REF!,"AAAAAD+tCAc=")</f>
        <v>#REF!</v>
      </c>
      <c r="I8" t="e">
        <f>IF(#REF!,"AAAAAD+tCAg=",0)</f>
        <v>#REF!</v>
      </c>
      <c r="J8" t="e">
        <f>AND(#REF!,"AAAAAD+tCAk=")</f>
        <v>#REF!</v>
      </c>
      <c r="K8" t="e">
        <f>AND(#REF!,"AAAAAD+tCAo=")</f>
        <v>#REF!</v>
      </c>
      <c r="L8" t="e">
        <f>AND(#REF!,"AAAAAD+tCAs=")</f>
        <v>#REF!</v>
      </c>
      <c r="M8" t="e">
        <f>AND(#REF!,"AAAAAD+tCAw=")</f>
        <v>#REF!</v>
      </c>
      <c r="N8" t="e">
        <f>AND(#REF!,"AAAAAD+tCA0=")</f>
        <v>#REF!</v>
      </c>
      <c r="O8" t="e">
        <f>AND(#REF!,"AAAAAD+tCA4=")</f>
        <v>#REF!</v>
      </c>
      <c r="P8" t="e">
        <f>AND(#REF!,"AAAAAD+tCA8=")</f>
        <v>#REF!</v>
      </c>
      <c r="Q8" t="e">
        <f>AND(#REF!,"AAAAAD+tCBA=")</f>
        <v>#REF!</v>
      </c>
      <c r="R8" t="e">
        <f>AND(#REF!,"AAAAAD+tCBE=")</f>
        <v>#REF!</v>
      </c>
      <c r="S8" t="e">
        <f>AND(#REF!,"AAAAAD+tCBI=")</f>
        <v>#REF!</v>
      </c>
      <c r="T8" t="e">
        <f>AND(#REF!,"AAAAAD+tCBM=")</f>
        <v>#REF!</v>
      </c>
      <c r="U8" t="e">
        <f>AND(#REF!,"AAAAAD+tCBQ=")</f>
        <v>#REF!</v>
      </c>
      <c r="V8" t="e">
        <f>AND(#REF!,"AAAAAD+tCBU=")</f>
        <v>#REF!</v>
      </c>
      <c r="W8" t="e">
        <f>AND(#REF!,"AAAAAD+tCBY=")</f>
        <v>#REF!</v>
      </c>
      <c r="X8" t="e">
        <f>AND(#REF!,"AAAAAD+tCBc=")</f>
        <v>#REF!</v>
      </c>
      <c r="Y8" t="e">
        <f>AND(#REF!,"AAAAAD+tCBg=")</f>
        <v>#REF!</v>
      </c>
      <c r="Z8" t="e">
        <f>AND(#REF!,"AAAAAD+tCBk=")</f>
        <v>#REF!</v>
      </c>
      <c r="AA8" t="e">
        <f>AND(#REF!,"AAAAAD+tCBo=")</f>
        <v>#REF!</v>
      </c>
      <c r="AB8" t="e">
        <f>AND(#REF!,"AAAAAD+tCBs=")</f>
        <v>#REF!</v>
      </c>
      <c r="AC8" t="e">
        <f>AND(#REF!,"AAAAAD+tCBw=")</f>
        <v>#REF!</v>
      </c>
      <c r="AD8" t="e">
        <f>AND(#REF!,"AAAAAD+tCB0=")</f>
        <v>#REF!</v>
      </c>
      <c r="AE8" t="e">
        <f>AND(#REF!,"AAAAAD+tCB4=")</f>
        <v>#REF!</v>
      </c>
      <c r="AF8" t="e">
        <f>AND(#REF!,"AAAAAD+tCB8=")</f>
        <v>#REF!</v>
      </c>
      <c r="AG8" t="e">
        <f>IF(#REF!,"AAAAAD+tCCA=",0)</f>
        <v>#REF!</v>
      </c>
      <c r="AH8" t="e">
        <f>AND(#REF!,"AAAAAD+tCCE=")</f>
        <v>#REF!</v>
      </c>
      <c r="AI8" t="e">
        <f>AND(#REF!,"AAAAAD+tCCI=")</f>
        <v>#REF!</v>
      </c>
      <c r="AJ8" t="e">
        <f>AND(#REF!,"AAAAAD+tCCM=")</f>
        <v>#REF!</v>
      </c>
      <c r="AK8" t="e">
        <f>AND(#REF!,"AAAAAD+tCCQ=")</f>
        <v>#REF!</v>
      </c>
      <c r="AL8" t="e">
        <f>AND(#REF!,"AAAAAD+tCCU=")</f>
        <v>#REF!</v>
      </c>
      <c r="AM8" t="e">
        <f>AND(#REF!,"AAAAAD+tCCY=")</f>
        <v>#REF!</v>
      </c>
      <c r="AN8" t="e">
        <f>AND(#REF!,"AAAAAD+tCCc=")</f>
        <v>#REF!</v>
      </c>
      <c r="AO8" t="e">
        <f>AND(#REF!,"AAAAAD+tCCg=")</f>
        <v>#REF!</v>
      </c>
      <c r="AP8" t="e">
        <f>AND(#REF!,"AAAAAD+tCCk=")</f>
        <v>#REF!</v>
      </c>
      <c r="AQ8" t="e">
        <f>AND(#REF!,"AAAAAD+tCCo=")</f>
        <v>#REF!</v>
      </c>
      <c r="AR8" t="e">
        <f>AND(#REF!,"AAAAAD+tCCs=")</f>
        <v>#REF!</v>
      </c>
      <c r="AS8" t="e">
        <f>AND(#REF!,"AAAAAD+tCCw=")</f>
        <v>#REF!</v>
      </c>
      <c r="AT8" t="e">
        <f>AND(#REF!,"AAAAAD+tCC0=")</f>
        <v>#REF!</v>
      </c>
      <c r="AU8" t="e">
        <f>AND(#REF!,"AAAAAD+tCC4=")</f>
        <v>#REF!</v>
      </c>
      <c r="AV8" t="e">
        <f>AND(#REF!,"AAAAAD+tCC8=")</f>
        <v>#REF!</v>
      </c>
      <c r="AW8" t="e">
        <f>AND(#REF!,"AAAAAD+tCDA=")</f>
        <v>#REF!</v>
      </c>
      <c r="AX8" t="e">
        <f>AND(#REF!,"AAAAAD+tCDE=")</f>
        <v>#REF!</v>
      </c>
      <c r="AY8" t="e">
        <f>AND(#REF!,"AAAAAD+tCDI=")</f>
        <v>#REF!</v>
      </c>
      <c r="AZ8" t="e">
        <f>AND(#REF!,"AAAAAD+tCDM=")</f>
        <v>#REF!</v>
      </c>
      <c r="BA8" t="e">
        <f>AND(#REF!,"AAAAAD+tCDQ=")</f>
        <v>#REF!</v>
      </c>
      <c r="BB8" t="e">
        <f>AND(#REF!,"AAAAAD+tCDU=")</f>
        <v>#REF!</v>
      </c>
      <c r="BC8" t="e">
        <f>AND(#REF!,"AAAAAD+tCDY=")</f>
        <v>#REF!</v>
      </c>
      <c r="BD8" t="e">
        <f>AND(#REF!,"AAAAAD+tCDc=")</f>
        <v>#REF!</v>
      </c>
      <c r="BE8" t="e">
        <f>IF(#REF!,"AAAAAD+tCDg=",0)</f>
        <v>#REF!</v>
      </c>
      <c r="BF8" t="e">
        <f>AND(#REF!,"AAAAAD+tCDk=")</f>
        <v>#REF!</v>
      </c>
      <c r="BG8" t="e">
        <f>AND(#REF!,"AAAAAD+tCDo=")</f>
        <v>#REF!</v>
      </c>
      <c r="BH8" t="e">
        <f>AND(#REF!,"AAAAAD+tCDs=")</f>
        <v>#REF!</v>
      </c>
      <c r="BI8" t="e">
        <f>AND(#REF!,"AAAAAD+tCDw=")</f>
        <v>#REF!</v>
      </c>
      <c r="BJ8" t="e">
        <f>AND(#REF!,"AAAAAD+tCD0=")</f>
        <v>#REF!</v>
      </c>
      <c r="BK8" t="e">
        <f>AND(#REF!,"AAAAAD+tCD4=")</f>
        <v>#REF!</v>
      </c>
      <c r="BL8" t="e">
        <f>AND(#REF!,"AAAAAD+tCD8=")</f>
        <v>#REF!</v>
      </c>
      <c r="BM8" t="e">
        <f>AND(#REF!,"AAAAAD+tCEA=")</f>
        <v>#REF!</v>
      </c>
      <c r="BN8" t="e">
        <f>AND(#REF!,"AAAAAD+tCEE=")</f>
        <v>#REF!</v>
      </c>
      <c r="BO8" t="e">
        <f>AND(#REF!,"AAAAAD+tCEI=")</f>
        <v>#REF!</v>
      </c>
      <c r="BP8" t="e">
        <f>AND(#REF!,"AAAAAD+tCEM=")</f>
        <v>#REF!</v>
      </c>
      <c r="BQ8" t="e">
        <f>AND(#REF!,"AAAAAD+tCEQ=")</f>
        <v>#REF!</v>
      </c>
      <c r="BR8" t="e">
        <f>AND(#REF!,"AAAAAD+tCEU=")</f>
        <v>#REF!</v>
      </c>
      <c r="BS8" t="e">
        <f>AND(#REF!,"AAAAAD+tCEY=")</f>
        <v>#REF!</v>
      </c>
      <c r="BT8" t="e">
        <f>AND(#REF!,"AAAAAD+tCEc=")</f>
        <v>#REF!</v>
      </c>
      <c r="BU8" t="e">
        <f>AND(#REF!,"AAAAAD+tCEg=")</f>
        <v>#REF!</v>
      </c>
      <c r="BV8" t="e">
        <f>AND(#REF!,"AAAAAD+tCEk=")</f>
        <v>#REF!</v>
      </c>
      <c r="BW8" t="e">
        <f>AND(#REF!,"AAAAAD+tCEo=")</f>
        <v>#REF!</v>
      </c>
      <c r="BX8" t="e">
        <f>AND(#REF!,"AAAAAD+tCEs=")</f>
        <v>#REF!</v>
      </c>
      <c r="BY8" t="e">
        <f>AND(#REF!,"AAAAAD+tCEw=")</f>
        <v>#REF!</v>
      </c>
      <c r="BZ8" t="e">
        <f>AND(#REF!,"AAAAAD+tCE0=")</f>
        <v>#REF!</v>
      </c>
      <c r="CA8" t="e">
        <f>AND(#REF!,"AAAAAD+tCE4=")</f>
        <v>#REF!</v>
      </c>
      <c r="CB8" t="e">
        <f>AND(#REF!,"AAAAAD+tCE8=")</f>
        <v>#REF!</v>
      </c>
      <c r="CC8" t="e">
        <f>IF(#REF!,"AAAAAD+tCFA=",0)</f>
        <v>#REF!</v>
      </c>
      <c r="CD8" t="e">
        <f>AND(#REF!,"AAAAAD+tCFE=")</f>
        <v>#REF!</v>
      </c>
      <c r="CE8" t="e">
        <f>AND(#REF!,"AAAAAD+tCFI=")</f>
        <v>#REF!</v>
      </c>
      <c r="CF8" t="e">
        <f>AND(#REF!,"AAAAAD+tCFM=")</f>
        <v>#REF!</v>
      </c>
      <c r="CG8" t="e">
        <f>AND(#REF!,"AAAAAD+tCFQ=")</f>
        <v>#REF!</v>
      </c>
      <c r="CH8" t="e">
        <f>AND(#REF!,"AAAAAD+tCFU=")</f>
        <v>#REF!</v>
      </c>
      <c r="CI8" t="e">
        <f>AND(#REF!,"AAAAAD+tCFY=")</f>
        <v>#REF!</v>
      </c>
      <c r="CJ8" t="e">
        <f>AND(#REF!,"AAAAAD+tCFc=")</f>
        <v>#REF!</v>
      </c>
      <c r="CK8" t="e">
        <f>AND(#REF!,"AAAAAD+tCFg=")</f>
        <v>#REF!</v>
      </c>
      <c r="CL8" t="e">
        <f>AND(#REF!,"AAAAAD+tCFk=")</f>
        <v>#REF!</v>
      </c>
      <c r="CM8" t="e">
        <f>AND(#REF!,"AAAAAD+tCFo=")</f>
        <v>#REF!</v>
      </c>
      <c r="CN8" t="e">
        <f>AND(#REF!,"AAAAAD+tCFs=")</f>
        <v>#REF!</v>
      </c>
      <c r="CO8" t="e">
        <f>AND(#REF!,"AAAAAD+tCFw=")</f>
        <v>#REF!</v>
      </c>
      <c r="CP8" t="e">
        <f>AND(#REF!,"AAAAAD+tCF0=")</f>
        <v>#REF!</v>
      </c>
      <c r="CQ8" t="e">
        <f>AND(#REF!,"AAAAAD+tCF4=")</f>
        <v>#REF!</v>
      </c>
      <c r="CR8" t="e">
        <f>AND(#REF!,"AAAAAD+tCF8=")</f>
        <v>#REF!</v>
      </c>
      <c r="CS8" t="e">
        <f>AND(#REF!,"AAAAAD+tCGA=")</f>
        <v>#REF!</v>
      </c>
      <c r="CT8" t="e">
        <f>AND(#REF!,"AAAAAD+tCGE=")</f>
        <v>#REF!</v>
      </c>
      <c r="CU8" t="e">
        <f>AND(#REF!,"AAAAAD+tCGI=")</f>
        <v>#REF!</v>
      </c>
      <c r="CV8" t="e">
        <f>AND(#REF!,"AAAAAD+tCGM=")</f>
        <v>#REF!</v>
      </c>
      <c r="CW8" t="e">
        <f>AND(#REF!,"AAAAAD+tCGQ=")</f>
        <v>#REF!</v>
      </c>
      <c r="CX8" t="e">
        <f>AND(#REF!,"AAAAAD+tCGU=")</f>
        <v>#REF!</v>
      </c>
      <c r="CY8" t="e">
        <f>AND(#REF!,"AAAAAD+tCGY=")</f>
        <v>#REF!</v>
      </c>
      <c r="CZ8" t="e">
        <f>AND(#REF!,"AAAAAD+tCGc=")</f>
        <v>#REF!</v>
      </c>
      <c r="DA8" t="e">
        <f>IF(#REF!,"AAAAAD+tCGg=",0)</f>
        <v>#REF!</v>
      </c>
      <c r="DB8" t="e">
        <f>AND(#REF!,"AAAAAD+tCGk=")</f>
        <v>#REF!</v>
      </c>
      <c r="DC8" t="e">
        <f>AND(#REF!,"AAAAAD+tCGo=")</f>
        <v>#REF!</v>
      </c>
      <c r="DD8" t="e">
        <f>AND(#REF!,"AAAAAD+tCGs=")</f>
        <v>#REF!</v>
      </c>
      <c r="DE8" t="e">
        <f>AND(#REF!,"AAAAAD+tCGw=")</f>
        <v>#REF!</v>
      </c>
      <c r="DF8" t="e">
        <f>AND(#REF!,"AAAAAD+tCG0=")</f>
        <v>#REF!</v>
      </c>
      <c r="DG8" t="e">
        <f>AND(#REF!,"AAAAAD+tCG4=")</f>
        <v>#REF!</v>
      </c>
      <c r="DH8" t="e">
        <f>AND(#REF!,"AAAAAD+tCG8=")</f>
        <v>#REF!</v>
      </c>
      <c r="DI8" t="e">
        <f>AND(#REF!,"AAAAAD+tCHA=")</f>
        <v>#REF!</v>
      </c>
      <c r="DJ8" t="e">
        <f>AND(#REF!,"AAAAAD+tCHE=")</f>
        <v>#REF!</v>
      </c>
      <c r="DK8" t="e">
        <f>AND(#REF!,"AAAAAD+tCHI=")</f>
        <v>#REF!</v>
      </c>
      <c r="DL8" t="e">
        <f>AND(#REF!,"AAAAAD+tCHM=")</f>
        <v>#REF!</v>
      </c>
      <c r="DM8" t="e">
        <f>AND(#REF!,"AAAAAD+tCHQ=")</f>
        <v>#REF!</v>
      </c>
      <c r="DN8" t="e">
        <f>AND(#REF!,"AAAAAD+tCHU=")</f>
        <v>#REF!</v>
      </c>
      <c r="DO8" t="e">
        <f>AND(#REF!,"AAAAAD+tCHY=")</f>
        <v>#REF!</v>
      </c>
      <c r="DP8" t="e">
        <f>AND(#REF!,"AAAAAD+tCHc=")</f>
        <v>#REF!</v>
      </c>
      <c r="DQ8" t="e">
        <f>AND(#REF!,"AAAAAD+tCHg=")</f>
        <v>#REF!</v>
      </c>
      <c r="DR8" t="e">
        <f>AND(#REF!,"AAAAAD+tCHk=")</f>
        <v>#REF!</v>
      </c>
      <c r="DS8" t="e">
        <f>AND(#REF!,"AAAAAD+tCHo=")</f>
        <v>#REF!</v>
      </c>
      <c r="DT8" t="e">
        <f>AND(#REF!,"AAAAAD+tCHs=")</f>
        <v>#REF!</v>
      </c>
      <c r="DU8" t="e">
        <f>AND(#REF!,"AAAAAD+tCHw=")</f>
        <v>#REF!</v>
      </c>
      <c r="DV8" t="e">
        <f>AND(#REF!,"AAAAAD+tCH0=")</f>
        <v>#REF!</v>
      </c>
      <c r="DW8" t="e">
        <f>AND(#REF!,"AAAAAD+tCH4=")</f>
        <v>#REF!</v>
      </c>
      <c r="DX8" t="e">
        <f>AND(#REF!,"AAAAAD+tCH8=")</f>
        <v>#REF!</v>
      </c>
      <c r="DY8" t="e">
        <f>IF(#REF!,"AAAAAD+tCIA=",0)</f>
        <v>#REF!</v>
      </c>
      <c r="DZ8" t="e">
        <f>AND(#REF!,"AAAAAD+tCIE=")</f>
        <v>#REF!</v>
      </c>
      <c r="EA8" t="e">
        <f>AND(#REF!,"AAAAAD+tCII=")</f>
        <v>#REF!</v>
      </c>
      <c r="EB8" t="e">
        <f>AND(#REF!,"AAAAAD+tCIM=")</f>
        <v>#REF!</v>
      </c>
      <c r="EC8" t="e">
        <f>AND(#REF!,"AAAAAD+tCIQ=")</f>
        <v>#REF!</v>
      </c>
      <c r="ED8" t="e">
        <f>AND(#REF!,"AAAAAD+tCIU=")</f>
        <v>#REF!</v>
      </c>
      <c r="EE8" t="e">
        <f>AND(#REF!,"AAAAAD+tCIY=")</f>
        <v>#REF!</v>
      </c>
      <c r="EF8" t="e">
        <f>AND(#REF!,"AAAAAD+tCIc=")</f>
        <v>#REF!</v>
      </c>
      <c r="EG8" t="e">
        <f>AND(#REF!,"AAAAAD+tCIg=")</f>
        <v>#REF!</v>
      </c>
      <c r="EH8" t="e">
        <f>AND(#REF!,"AAAAAD+tCIk=")</f>
        <v>#REF!</v>
      </c>
      <c r="EI8" t="e">
        <f>AND(#REF!,"AAAAAD+tCIo=")</f>
        <v>#REF!</v>
      </c>
      <c r="EJ8" t="e">
        <f>AND(#REF!,"AAAAAD+tCIs=")</f>
        <v>#REF!</v>
      </c>
      <c r="EK8" t="e">
        <f>AND(#REF!,"AAAAAD+tCIw=")</f>
        <v>#REF!</v>
      </c>
      <c r="EL8" t="e">
        <f>AND(#REF!,"AAAAAD+tCI0=")</f>
        <v>#REF!</v>
      </c>
      <c r="EM8" t="e">
        <f>AND(#REF!,"AAAAAD+tCI4=")</f>
        <v>#REF!</v>
      </c>
      <c r="EN8" t="e">
        <f>AND(#REF!,"AAAAAD+tCI8=")</f>
        <v>#REF!</v>
      </c>
      <c r="EO8" t="e">
        <f>AND(#REF!,"AAAAAD+tCJA=")</f>
        <v>#REF!</v>
      </c>
      <c r="EP8" t="e">
        <f>AND(#REF!,"AAAAAD+tCJE=")</f>
        <v>#REF!</v>
      </c>
      <c r="EQ8" t="e">
        <f>AND(#REF!,"AAAAAD+tCJI=")</f>
        <v>#REF!</v>
      </c>
      <c r="ER8" t="e">
        <f>AND(#REF!,"AAAAAD+tCJM=")</f>
        <v>#REF!</v>
      </c>
      <c r="ES8" t="e">
        <f>AND(#REF!,"AAAAAD+tCJQ=")</f>
        <v>#REF!</v>
      </c>
      <c r="ET8" t="e">
        <f>AND(#REF!,"AAAAAD+tCJU=")</f>
        <v>#REF!</v>
      </c>
      <c r="EU8" t="e">
        <f>AND(#REF!,"AAAAAD+tCJY=")</f>
        <v>#REF!</v>
      </c>
      <c r="EV8" t="e">
        <f>AND(#REF!,"AAAAAD+tCJc=")</f>
        <v>#REF!</v>
      </c>
      <c r="EW8" t="e">
        <f>IF(#REF!,"AAAAAD+tCJg=",0)</f>
        <v>#REF!</v>
      </c>
      <c r="EX8" t="e">
        <f>AND(#REF!,"AAAAAD+tCJk=")</f>
        <v>#REF!</v>
      </c>
      <c r="EY8" t="e">
        <f>AND(#REF!,"AAAAAD+tCJo=")</f>
        <v>#REF!</v>
      </c>
      <c r="EZ8" t="e">
        <f>AND(#REF!,"AAAAAD+tCJs=")</f>
        <v>#REF!</v>
      </c>
      <c r="FA8" t="e">
        <f>AND(#REF!,"AAAAAD+tCJw=")</f>
        <v>#REF!</v>
      </c>
      <c r="FB8" t="e">
        <f>AND(#REF!,"AAAAAD+tCJ0=")</f>
        <v>#REF!</v>
      </c>
      <c r="FC8" t="e">
        <f>AND(#REF!,"AAAAAD+tCJ4=")</f>
        <v>#REF!</v>
      </c>
      <c r="FD8" t="e">
        <f>AND(#REF!,"AAAAAD+tCJ8=")</f>
        <v>#REF!</v>
      </c>
      <c r="FE8" t="e">
        <f>AND(#REF!,"AAAAAD+tCKA=")</f>
        <v>#REF!</v>
      </c>
      <c r="FF8" t="e">
        <f>AND(#REF!,"AAAAAD+tCKE=")</f>
        <v>#REF!</v>
      </c>
      <c r="FG8" t="e">
        <f>AND(#REF!,"AAAAAD+tCKI=")</f>
        <v>#REF!</v>
      </c>
      <c r="FH8" t="e">
        <f>AND(#REF!,"AAAAAD+tCKM=")</f>
        <v>#REF!</v>
      </c>
      <c r="FI8" t="e">
        <f>AND(#REF!,"AAAAAD+tCKQ=")</f>
        <v>#REF!</v>
      </c>
      <c r="FJ8" t="e">
        <f>AND(#REF!,"AAAAAD+tCKU=")</f>
        <v>#REF!</v>
      </c>
      <c r="FK8" t="e">
        <f>AND(#REF!,"AAAAAD+tCKY=")</f>
        <v>#REF!</v>
      </c>
      <c r="FL8" t="e">
        <f>AND(#REF!,"AAAAAD+tCKc=")</f>
        <v>#REF!</v>
      </c>
      <c r="FM8" t="e">
        <f>AND(#REF!,"AAAAAD+tCKg=")</f>
        <v>#REF!</v>
      </c>
      <c r="FN8" t="e">
        <f>AND(#REF!,"AAAAAD+tCKk=")</f>
        <v>#REF!</v>
      </c>
      <c r="FO8" t="e">
        <f>AND(#REF!,"AAAAAD+tCKo=")</f>
        <v>#REF!</v>
      </c>
      <c r="FP8" t="e">
        <f>AND(#REF!,"AAAAAD+tCKs=")</f>
        <v>#REF!</v>
      </c>
      <c r="FQ8" t="e">
        <f>AND(#REF!,"AAAAAD+tCKw=")</f>
        <v>#REF!</v>
      </c>
      <c r="FR8" t="e">
        <f>AND(#REF!,"AAAAAD+tCK0=")</f>
        <v>#REF!</v>
      </c>
      <c r="FS8" t="e">
        <f>AND(#REF!,"AAAAAD+tCK4=")</f>
        <v>#REF!</v>
      </c>
      <c r="FT8" t="e">
        <f>AND(#REF!,"AAAAAD+tCK8=")</f>
        <v>#REF!</v>
      </c>
      <c r="FU8" t="e">
        <f>IF(#REF!,"AAAAAD+tCLA=",0)</f>
        <v>#REF!</v>
      </c>
      <c r="FV8" t="e">
        <f>AND(#REF!,"AAAAAD+tCLE=")</f>
        <v>#REF!</v>
      </c>
      <c r="FW8" t="e">
        <f>AND(#REF!,"AAAAAD+tCLI=")</f>
        <v>#REF!</v>
      </c>
      <c r="FX8" t="e">
        <f>AND(#REF!,"AAAAAD+tCLM=")</f>
        <v>#REF!</v>
      </c>
      <c r="FY8" t="e">
        <f>AND(#REF!,"AAAAAD+tCLQ=")</f>
        <v>#REF!</v>
      </c>
      <c r="FZ8" t="e">
        <f>AND(#REF!,"AAAAAD+tCLU=")</f>
        <v>#REF!</v>
      </c>
      <c r="GA8" t="e">
        <f>AND(#REF!,"AAAAAD+tCLY=")</f>
        <v>#REF!</v>
      </c>
      <c r="GB8" t="e">
        <f>AND(#REF!,"AAAAAD+tCLc=")</f>
        <v>#REF!</v>
      </c>
      <c r="GC8" t="e">
        <f>AND(#REF!,"AAAAAD+tCLg=")</f>
        <v>#REF!</v>
      </c>
      <c r="GD8" t="e">
        <f>AND(#REF!,"AAAAAD+tCLk=")</f>
        <v>#REF!</v>
      </c>
      <c r="GE8" t="e">
        <f>AND(#REF!,"AAAAAD+tCLo=")</f>
        <v>#REF!</v>
      </c>
      <c r="GF8" t="e">
        <f>AND(#REF!,"AAAAAD+tCLs=")</f>
        <v>#REF!</v>
      </c>
      <c r="GG8" t="e">
        <f>AND(#REF!,"AAAAAD+tCLw=")</f>
        <v>#REF!</v>
      </c>
      <c r="GH8" t="e">
        <f>AND(#REF!,"AAAAAD+tCL0=")</f>
        <v>#REF!</v>
      </c>
      <c r="GI8" t="e">
        <f>AND(#REF!,"AAAAAD+tCL4=")</f>
        <v>#REF!</v>
      </c>
      <c r="GJ8" t="e">
        <f>AND(#REF!,"AAAAAD+tCL8=")</f>
        <v>#REF!</v>
      </c>
      <c r="GK8" t="e">
        <f>AND(#REF!,"AAAAAD+tCMA=")</f>
        <v>#REF!</v>
      </c>
      <c r="GL8" t="e">
        <f>AND(#REF!,"AAAAAD+tCME=")</f>
        <v>#REF!</v>
      </c>
      <c r="GM8" t="e">
        <f>AND(#REF!,"AAAAAD+tCMI=")</f>
        <v>#REF!</v>
      </c>
      <c r="GN8" t="e">
        <f>AND(#REF!,"AAAAAD+tCMM=")</f>
        <v>#REF!</v>
      </c>
      <c r="GO8" t="e">
        <f>AND(#REF!,"AAAAAD+tCMQ=")</f>
        <v>#REF!</v>
      </c>
      <c r="GP8" t="e">
        <f>AND(#REF!,"AAAAAD+tCMU=")</f>
        <v>#REF!</v>
      </c>
      <c r="GQ8" t="e">
        <f>AND(#REF!,"AAAAAD+tCMY=")</f>
        <v>#REF!</v>
      </c>
      <c r="GR8" t="e">
        <f>AND(#REF!,"AAAAAD+tCMc=")</f>
        <v>#REF!</v>
      </c>
      <c r="GS8" t="e">
        <f>IF(#REF!,"AAAAAD+tCMg=",0)</f>
        <v>#REF!</v>
      </c>
      <c r="GT8" t="e">
        <f>AND(#REF!,"AAAAAD+tCMk=")</f>
        <v>#REF!</v>
      </c>
      <c r="GU8" t="e">
        <f>AND(#REF!,"AAAAAD+tCMo=")</f>
        <v>#REF!</v>
      </c>
      <c r="GV8" t="e">
        <f>AND(#REF!,"AAAAAD+tCMs=")</f>
        <v>#REF!</v>
      </c>
      <c r="GW8" t="e">
        <f>AND(#REF!,"AAAAAD+tCMw=")</f>
        <v>#REF!</v>
      </c>
      <c r="GX8" t="e">
        <f>AND(#REF!,"AAAAAD+tCM0=")</f>
        <v>#REF!</v>
      </c>
      <c r="GY8" t="e">
        <f>AND(#REF!,"AAAAAD+tCM4=")</f>
        <v>#REF!</v>
      </c>
      <c r="GZ8" t="e">
        <f>AND(#REF!,"AAAAAD+tCM8=")</f>
        <v>#REF!</v>
      </c>
      <c r="HA8" t="e">
        <f>AND(#REF!,"AAAAAD+tCNA=")</f>
        <v>#REF!</v>
      </c>
      <c r="HB8" t="e">
        <f>AND(#REF!,"AAAAAD+tCNE=")</f>
        <v>#REF!</v>
      </c>
      <c r="HC8" t="e">
        <f>AND(#REF!,"AAAAAD+tCNI=")</f>
        <v>#REF!</v>
      </c>
      <c r="HD8" t="e">
        <f>AND(#REF!,"AAAAAD+tCNM=")</f>
        <v>#REF!</v>
      </c>
      <c r="HE8" t="e">
        <f>AND(#REF!,"AAAAAD+tCNQ=")</f>
        <v>#REF!</v>
      </c>
      <c r="HF8" t="e">
        <f>AND(#REF!,"AAAAAD+tCNU=")</f>
        <v>#REF!</v>
      </c>
      <c r="HG8" t="e">
        <f>AND(#REF!,"AAAAAD+tCNY=")</f>
        <v>#REF!</v>
      </c>
      <c r="HH8" t="e">
        <f>AND(#REF!,"AAAAAD+tCNc=")</f>
        <v>#REF!</v>
      </c>
      <c r="HI8" t="e">
        <f>AND(#REF!,"AAAAAD+tCNg=")</f>
        <v>#REF!</v>
      </c>
      <c r="HJ8" t="e">
        <f>AND(#REF!,"AAAAAD+tCNk=")</f>
        <v>#REF!</v>
      </c>
      <c r="HK8" t="e">
        <f>AND(#REF!,"AAAAAD+tCNo=")</f>
        <v>#REF!</v>
      </c>
      <c r="HL8" t="e">
        <f>AND(#REF!,"AAAAAD+tCNs=")</f>
        <v>#REF!</v>
      </c>
      <c r="HM8" t="e">
        <f>AND(#REF!,"AAAAAD+tCNw=")</f>
        <v>#REF!</v>
      </c>
      <c r="HN8" t="e">
        <f>AND(#REF!,"AAAAAD+tCN0=")</f>
        <v>#REF!</v>
      </c>
      <c r="HO8" t="e">
        <f>AND(#REF!,"AAAAAD+tCN4=")</f>
        <v>#REF!</v>
      </c>
      <c r="HP8" t="e">
        <f>AND(#REF!,"AAAAAD+tCN8=")</f>
        <v>#REF!</v>
      </c>
      <c r="HQ8" t="e">
        <f>IF(#REF!,"AAAAAD+tCOA=",0)</f>
        <v>#REF!</v>
      </c>
      <c r="HR8" t="e">
        <f>AND(#REF!,"AAAAAD+tCOE=")</f>
        <v>#REF!</v>
      </c>
      <c r="HS8" t="e">
        <f>AND(#REF!,"AAAAAD+tCOI=")</f>
        <v>#REF!</v>
      </c>
      <c r="HT8" t="e">
        <f>AND(#REF!,"AAAAAD+tCOM=")</f>
        <v>#REF!</v>
      </c>
      <c r="HU8" t="e">
        <f>AND(#REF!,"AAAAAD+tCOQ=")</f>
        <v>#REF!</v>
      </c>
      <c r="HV8" t="e">
        <f>AND(#REF!,"AAAAAD+tCOU=")</f>
        <v>#REF!</v>
      </c>
      <c r="HW8" t="e">
        <f>AND(#REF!,"AAAAAD+tCOY=")</f>
        <v>#REF!</v>
      </c>
      <c r="HX8" t="e">
        <f>AND(#REF!,"AAAAAD+tCOc=")</f>
        <v>#REF!</v>
      </c>
      <c r="HY8" t="e">
        <f>AND(#REF!,"AAAAAD+tCOg=")</f>
        <v>#REF!</v>
      </c>
      <c r="HZ8" t="e">
        <f>AND(#REF!,"AAAAAD+tCOk=")</f>
        <v>#REF!</v>
      </c>
      <c r="IA8" t="e">
        <f>AND(#REF!,"AAAAAD+tCOo=")</f>
        <v>#REF!</v>
      </c>
      <c r="IB8" t="e">
        <f>AND(#REF!,"AAAAAD+tCOs=")</f>
        <v>#REF!</v>
      </c>
      <c r="IC8" t="e">
        <f>AND(#REF!,"AAAAAD+tCOw=")</f>
        <v>#REF!</v>
      </c>
      <c r="ID8" t="e">
        <f>AND(#REF!,"AAAAAD+tCO0=")</f>
        <v>#REF!</v>
      </c>
      <c r="IE8" t="e">
        <f>AND(#REF!,"AAAAAD+tCO4=")</f>
        <v>#REF!</v>
      </c>
      <c r="IF8" t="e">
        <f>AND(#REF!,"AAAAAD+tCO8=")</f>
        <v>#REF!</v>
      </c>
      <c r="IG8" t="e">
        <f>AND(#REF!,"AAAAAD+tCPA=")</f>
        <v>#REF!</v>
      </c>
      <c r="IH8" t="e">
        <f>AND(#REF!,"AAAAAD+tCPE=")</f>
        <v>#REF!</v>
      </c>
      <c r="II8" t="e">
        <f>AND(#REF!,"AAAAAD+tCPI=")</f>
        <v>#REF!</v>
      </c>
      <c r="IJ8" t="e">
        <f>AND(#REF!,"AAAAAD+tCPM=")</f>
        <v>#REF!</v>
      </c>
      <c r="IK8" t="e">
        <f>AND(#REF!,"AAAAAD+tCPQ=")</f>
        <v>#REF!</v>
      </c>
      <c r="IL8" t="e">
        <f>AND(#REF!,"AAAAAD+tCPU=")</f>
        <v>#REF!</v>
      </c>
      <c r="IM8" t="e">
        <f>AND(#REF!,"AAAAAD+tCPY=")</f>
        <v>#REF!</v>
      </c>
      <c r="IN8" t="e">
        <f>AND(#REF!,"AAAAAD+tCPc=")</f>
        <v>#REF!</v>
      </c>
      <c r="IO8" t="e">
        <f>IF(#REF!,"AAAAAD+tCPg=",0)</f>
        <v>#REF!</v>
      </c>
      <c r="IP8" t="e">
        <f>AND(#REF!,"AAAAAD+tCPk=")</f>
        <v>#REF!</v>
      </c>
      <c r="IQ8" t="e">
        <f>AND(#REF!,"AAAAAD+tCPo=")</f>
        <v>#REF!</v>
      </c>
      <c r="IR8" t="e">
        <f>AND(#REF!,"AAAAAD+tCPs=")</f>
        <v>#REF!</v>
      </c>
      <c r="IS8" t="e">
        <f>AND(#REF!,"AAAAAD+tCPw=")</f>
        <v>#REF!</v>
      </c>
      <c r="IT8" t="e">
        <f>AND(#REF!,"AAAAAD+tCP0=")</f>
        <v>#REF!</v>
      </c>
      <c r="IU8" t="e">
        <f>AND(#REF!,"AAAAAD+tCP4=")</f>
        <v>#REF!</v>
      </c>
      <c r="IV8" t="e">
        <f>AND(#REF!,"AAAAAD+tCP8=")</f>
        <v>#REF!</v>
      </c>
    </row>
    <row r="9" spans="1:256" x14ac:dyDescent="0.25">
      <c r="A9" t="e">
        <f>AND(#REF!,"AAAAACb/+gA=")</f>
        <v>#REF!</v>
      </c>
      <c r="B9" t="e">
        <f>AND(#REF!,"AAAAACb/+gE=")</f>
        <v>#REF!</v>
      </c>
      <c r="C9" t="e">
        <f>AND(#REF!,"AAAAACb/+gI=")</f>
        <v>#REF!</v>
      </c>
      <c r="D9" t="e">
        <f>AND(#REF!,"AAAAACb/+gM=")</f>
        <v>#REF!</v>
      </c>
      <c r="E9" t="e">
        <f>AND(#REF!,"AAAAACb/+gQ=")</f>
        <v>#REF!</v>
      </c>
      <c r="F9" t="e">
        <f>AND(#REF!,"AAAAACb/+gU=")</f>
        <v>#REF!</v>
      </c>
      <c r="G9" t="e">
        <f>AND(#REF!,"AAAAACb/+gY=")</f>
        <v>#REF!</v>
      </c>
      <c r="H9" t="e">
        <f>AND(#REF!,"AAAAACb/+gc=")</f>
        <v>#REF!</v>
      </c>
      <c r="I9" t="e">
        <f>AND(#REF!,"AAAAACb/+gg=")</f>
        <v>#REF!</v>
      </c>
      <c r="J9" t="e">
        <f>AND(#REF!,"AAAAACb/+gk=")</f>
        <v>#REF!</v>
      </c>
      <c r="K9" t="e">
        <f>AND(#REF!,"AAAAACb/+go=")</f>
        <v>#REF!</v>
      </c>
      <c r="L9" t="e">
        <f>AND(#REF!,"AAAAACb/+gs=")</f>
        <v>#REF!</v>
      </c>
      <c r="M9" t="e">
        <f>AND(#REF!,"AAAAACb/+gw=")</f>
        <v>#REF!</v>
      </c>
      <c r="N9" t="e">
        <f>AND(#REF!,"AAAAACb/+g0=")</f>
        <v>#REF!</v>
      </c>
      <c r="O9" t="e">
        <f>AND(#REF!,"AAAAACb/+g4=")</f>
        <v>#REF!</v>
      </c>
      <c r="P9" t="e">
        <f>AND(#REF!,"AAAAACb/+g8=")</f>
        <v>#REF!</v>
      </c>
      <c r="Q9" t="e">
        <f>IF(#REF!,"AAAAACb/+hA=",0)</f>
        <v>#REF!</v>
      </c>
      <c r="R9" t="e">
        <f>AND(#REF!,"AAAAACb/+hE=")</f>
        <v>#REF!</v>
      </c>
      <c r="S9" t="e">
        <f>AND(#REF!,"AAAAACb/+hI=")</f>
        <v>#REF!</v>
      </c>
      <c r="T9" t="e">
        <f>AND(#REF!,"AAAAACb/+hM=")</f>
        <v>#REF!</v>
      </c>
      <c r="U9" t="e">
        <f>AND(#REF!,"AAAAACb/+hQ=")</f>
        <v>#REF!</v>
      </c>
      <c r="V9" t="e">
        <f>AND(#REF!,"AAAAACb/+hU=")</f>
        <v>#REF!</v>
      </c>
      <c r="W9" t="e">
        <f>AND(#REF!,"AAAAACb/+hY=")</f>
        <v>#REF!</v>
      </c>
      <c r="X9" t="e">
        <f>AND(#REF!,"AAAAACb/+hc=")</f>
        <v>#REF!</v>
      </c>
      <c r="Y9" t="e">
        <f>AND(#REF!,"AAAAACb/+hg=")</f>
        <v>#REF!</v>
      </c>
      <c r="Z9" t="e">
        <f>AND(#REF!,"AAAAACb/+hk=")</f>
        <v>#REF!</v>
      </c>
      <c r="AA9" t="e">
        <f>AND(#REF!,"AAAAACb/+ho=")</f>
        <v>#REF!</v>
      </c>
      <c r="AB9" t="e">
        <f>AND(#REF!,"AAAAACb/+hs=")</f>
        <v>#REF!</v>
      </c>
      <c r="AC9" t="e">
        <f>AND(#REF!,"AAAAACb/+hw=")</f>
        <v>#REF!</v>
      </c>
      <c r="AD9" t="e">
        <f>AND(#REF!,"AAAAACb/+h0=")</f>
        <v>#REF!</v>
      </c>
      <c r="AE9" t="e">
        <f>AND(#REF!,"AAAAACb/+h4=")</f>
        <v>#REF!</v>
      </c>
      <c r="AF9" t="e">
        <f>AND(#REF!,"AAAAACb/+h8=")</f>
        <v>#REF!</v>
      </c>
      <c r="AG9" t="e">
        <f>AND(#REF!,"AAAAACb/+iA=")</f>
        <v>#REF!</v>
      </c>
      <c r="AH9" t="e">
        <f>AND(#REF!,"AAAAACb/+iE=")</f>
        <v>#REF!</v>
      </c>
      <c r="AI9" t="e">
        <f>AND(#REF!,"AAAAACb/+iI=")</f>
        <v>#REF!</v>
      </c>
      <c r="AJ9" t="e">
        <f>AND(#REF!,"AAAAACb/+iM=")</f>
        <v>#REF!</v>
      </c>
      <c r="AK9" t="e">
        <f>AND(#REF!,"AAAAACb/+iQ=")</f>
        <v>#REF!</v>
      </c>
      <c r="AL9" t="e">
        <f>AND(#REF!,"AAAAACb/+iU=")</f>
        <v>#REF!</v>
      </c>
      <c r="AM9" t="e">
        <f>AND(#REF!,"AAAAACb/+iY=")</f>
        <v>#REF!</v>
      </c>
      <c r="AN9" t="e">
        <f>AND(#REF!,"AAAAACb/+ic=")</f>
        <v>#REF!</v>
      </c>
      <c r="AO9" t="e">
        <f>IF(#REF!,"AAAAACb/+ig=",0)</f>
        <v>#REF!</v>
      </c>
      <c r="AP9" t="e">
        <f>AND(#REF!,"AAAAACb/+ik=")</f>
        <v>#REF!</v>
      </c>
      <c r="AQ9" t="e">
        <f>AND(#REF!,"AAAAACb/+io=")</f>
        <v>#REF!</v>
      </c>
      <c r="AR9" t="e">
        <f>AND(#REF!,"AAAAACb/+is=")</f>
        <v>#REF!</v>
      </c>
      <c r="AS9" t="e">
        <f>AND(#REF!,"AAAAACb/+iw=")</f>
        <v>#REF!</v>
      </c>
      <c r="AT9" t="e">
        <f>AND(#REF!,"AAAAACb/+i0=")</f>
        <v>#REF!</v>
      </c>
      <c r="AU9" t="e">
        <f>AND(#REF!,"AAAAACb/+i4=")</f>
        <v>#REF!</v>
      </c>
      <c r="AV9" t="e">
        <f>AND(#REF!,"AAAAACb/+i8=")</f>
        <v>#REF!</v>
      </c>
      <c r="AW9" t="e">
        <f>AND(#REF!,"AAAAACb/+jA=")</f>
        <v>#REF!</v>
      </c>
      <c r="AX9" t="e">
        <f>AND(#REF!,"AAAAACb/+jE=")</f>
        <v>#REF!</v>
      </c>
      <c r="AY9" t="e">
        <f>AND(#REF!,"AAAAACb/+jI=")</f>
        <v>#REF!</v>
      </c>
      <c r="AZ9" t="e">
        <f>AND(#REF!,"AAAAACb/+jM=")</f>
        <v>#REF!</v>
      </c>
      <c r="BA9" t="e">
        <f>AND(#REF!,"AAAAACb/+jQ=")</f>
        <v>#REF!</v>
      </c>
      <c r="BB9" t="e">
        <f>AND(#REF!,"AAAAACb/+jU=")</f>
        <v>#REF!</v>
      </c>
      <c r="BC9" t="e">
        <f>AND(#REF!,"AAAAACb/+jY=")</f>
        <v>#REF!</v>
      </c>
      <c r="BD9" t="e">
        <f>AND(#REF!,"AAAAACb/+jc=")</f>
        <v>#REF!</v>
      </c>
      <c r="BE9" t="e">
        <f>AND(#REF!,"AAAAACb/+jg=")</f>
        <v>#REF!</v>
      </c>
      <c r="BF9" t="e">
        <f>AND(#REF!,"AAAAACb/+jk=")</f>
        <v>#REF!</v>
      </c>
      <c r="BG9" t="e">
        <f>AND(#REF!,"AAAAACb/+jo=")</f>
        <v>#REF!</v>
      </c>
      <c r="BH9" t="e">
        <f>AND(#REF!,"AAAAACb/+js=")</f>
        <v>#REF!</v>
      </c>
      <c r="BI9" t="e">
        <f>AND(#REF!,"AAAAACb/+jw=")</f>
        <v>#REF!</v>
      </c>
      <c r="BJ9" t="e">
        <f>AND(#REF!,"AAAAACb/+j0=")</f>
        <v>#REF!</v>
      </c>
      <c r="BK9" t="e">
        <f>AND(#REF!,"AAAAACb/+j4=")</f>
        <v>#REF!</v>
      </c>
      <c r="BL9" t="e">
        <f>AND(#REF!,"AAAAACb/+j8=")</f>
        <v>#REF!</v>
      </c>
      <c r="BM9" t="e">
        <f>IF(#REF!,"AAAAACb/+kA=",0)</f>
        <v>#REF!</v>
      </c>
      <c r="BN9" t="e">
        <f>AND(#REF!,"AAAAACb/+kE=")</f>
        <v>#REF!</v>
      </c>
      <c r="BO9" t="e">
        <f>AND(#REF!,"AAAAACb/+kI=")</f>
        <v>#REF!</v>
      </c>
      <c r="BP9" t="e">
        <f>AND(#REF!,"AAAAACb/+kM=")</f>
        <v>#REF!</v>
      </c>
      <c r="BQ9" t="e">
        <f>AND(#REF!,"AAAAACb/+kQ=")</f>
        <v>#REF!</v>
      </c>
      <c r="BR9" t="e">
        <f>AND(#REF!,"AAAAACb/+kU=")</f>
        <v>#REF!</v>
      </c>
      <c r="BS9" t="e">
        <f>AND(#REF!,"AAAAACb/+kY=")</f>
        <v>#REF!</v>
      </c>
      <c r="BT9" t="e">
        <f>AND(#REF!,"AAAAACb/+kc=")</f>
        <v>#REF!</v>
      </c>
      <c r="BU9" t="e">
        <f>AND(#REF!,"AAAAACb/+kg=")</f>
        <v>#REF!</v>
      </c>
      <c r="BV9" t="e">
        <f>AND(#REF!,"AAAAACb/+kk=")</f>
        <v>#REF!</v>
      </c>
      <c r="BW9" t="e">
        <f>AND(#REF!,"AAAAACb/+ko=")</f>
        <v>#REF!</v>
      </c>
      <c r="BX9" t="e">
        <f>AND(#REF!,"AAAAACb/+ks=")</f>
        <v>#REF!</v>
      </c>
      <c r="BY9" t="e">
        <f>AND(#REF!,"AAAAACb/+kw=")</f>
        <v>#REF!</v>
      </c>
      <c r="BZ9" t="e">
        <f>AND(#REF!,"AAAAACb/+k0=")</f>
        <v>#REF!</v>
      </c>
      <c r="CA9" t="e">
        <f>AND(#REF!,"AAAAACb/+k4=")</f>
        <v>#REF!</v>
      </c>
      <c r="CB9" t="e">
        <f>AND(#REF!,"AAAAACb/+k8=")</f>
        <v>#REF!</v>
      </c>
      <c r="CC9" t="e">
        <f>AND(#REF!,"AAAAACb/+lA=")</f>
        <v>#REF!</v>
      </c>
      <c r="CD9" t="e">
        <f>AND(#REF!,"AAAAACb/+lE=")</f>
        <v>#REF!</v>
      </c>
      <c r="CE9" t="e">
        <f>AND(#REF!,"AAAAACb/+lI=")</f>
        <v>#REF!</v>
      </c>
      <c r="CF9" t="e">
        <f>AND(#REF!,"AAAAACb/+lM=")</f>
        <v>#REF!</v>
      </c>
      <c r="CG9" t="e">
        <f>AND(#REF!,"AAAAACb/+lQ=")</f>
        <v>#REF!</v>
      </c>
      <c r="CH9" t="e">
        <f>AND(#REF!,"AAAAACb/+lU=")</f>
        <v>#REF!</v>
      </c>
      <c r="CI9" t="e">
        <f>AND(#REF!,"AAAAACb/+lY=")</f>
        <v>#REF!</v>
      </c>
      <c r="CJ9" t="e">
        <f>AND(#REF!,"AAAAACb/+lc=")</f>
        <v>#REF!</v>
      </c>
      <c r="CK9" t="e">
        <f>IF(#REF!,"AAAAACb/+lg=",0)</f>
        <v>#REF!</v>
      </c>
      <c r="CL9" t="e">
        <f>AND(#REF!,"AAAAACb/+lk=")</f>
        <v>#REF!</v>
      </c>
      <c r="CM9" t="e">
        <f>AND(#REF!,"AAAAACb/+lo=")</f>
        <v>#REF!</v>
      </c>
      <c r="CN9" t="e">
        <f>AND(#REF!,"AAAAACb/+ls=")</f>
        <v>#REF!</v>
      </c>
      <c r="CO9" t="e">
        <f>AND(#REF!,"AAAAACb/+lw=")</f>
        <v>#REF!</v>
      </c>
      <c r="CP9" t="e">
        <f>AND(#REF!,"AAAAACb/+l0=")</f>
        <v>#REF!</v>
      </c>
      <c r="CQ9" t="e">
        <f>AND(#REF!,"AAAAACb/+l4=")</f>
        <v>#REF!</v>
      </c>
      <c r="CR9" t="e">
        <f>AND(#REF!,"AAAAACb/+l8=")</f>
        <v>#REF!</v>
      </c>
      <c r="CS9" t="e">
        <f>AND(#REF!,"AAAAACb/+mA=")</f>
        <v>#REF!</v>
      </c>
      <c r="CT9" t="e">
        <f>AND(#REF!,"AAAAACb/+mE=")</f>
        <v>#REF!</v>
      </c>
      <c r="CU9" t="e">
        <f>AND(#REF!,"AAAAACb/+mI=")</f>
        <v>#REF!</v>
      </c>
      <c r="CV9" t="e">
        <f>AND(#REF!,"AAAAACb/+mM=")</f>
        <v>#REF!</v>
      </c>
      <c r="CW9" t="e">
        <f>AND(#REF!,"AAAAACb/+mQ=")</f>
        <v>#REF!</v>
      </c>
      <c r="CX9" t="e">
        <f>AND(#REF!,"AAAAACb/+mU=")</f>
        <v>#REF!</v>
      </c>
      <c r="CY9" t="e">
        <f>AND(#REF!,"AAAAACb/+mY=")</f>
        <v>#REF!</v>
      </c>
      <c r="CZ9" t="e">
        <f>AND(#REF!,"AAAAACb/+mc=")</f>
        <v>#REF!</v>
      </c>
      <c r="DA9" t="e">
        <f>AND(#REF!,"AAAAACb/+mg=")</f>
        <v>#REF!</v>
      </c>
      <c r="DB9" t="e">
        <f>AND(#REF!,"AAAAACb/+mk=")</f>
        <v>#REF!</v>
      </c>
      <c r="DC9" t="e">
        <f>AND(#REF!,"AAAAACb/+mo=")</f>
        <v>#REF!</v>
      </c>
      <c r="DD9" t="e">
        <f>AND(#REF!,"AAAAACb/+ms=")</f>
        <v>#REF!</v>
      </c>
      <c r="DE9" t="e">
        <f>AND(#REF!,"AAAAACb/+mw=")</f>
        <v>#REF!</v>
      </c>
      <c r="DF9" t="e">
        <f>AND(#REF!,"AAAAACb/+m0=")</f>
        <v>#REF!</v>
      </c>
      <c r="DG9" t="e">
        <f>AND(#REF!,"AAAAACb/+m4=")</f>
        <v>#REF!</v>
      </c>
      <c r="DH9" t="e">
        <f>AND(#REF!,"AAAAACb/+m8=")</f>
        <v>#REF!</v>
      </c>
      <c r="DI9" t="e">
        <f>IF(#REF!,"AAAAACb/+nA=",0)</f>
        <v>#REF!</v>
      </c>
      <c r="DJ9" t="e">
        <f>AND(#REF!,"AAAAACb/+nE=")</f>
        <v>#REF!</v>
      </c>
      <c r="DK9" t="e">
        <f>AND(#REF!,"AAAAACb/+nI=")</f>
        <v>#REF!</v>
      </c>
      <c r="DL9" t="e">
        <f>AND(#REF!,"AAAAACb/+nM=")</f>
        <v>#REF!</v>
      </c>
      <c r="DM9" t="e">
        <f>AND(#REF!,"AAAAACb/+nQ=")</f>
        <v>#REF!</v>
      </c>
      <c r="DN9" t="e">
        <f>AND(#REF!,"AAAAACb/+nU=")</f>
        <v>#REF!</v>
      </c>
      <c r="DO9" t="e">
        <f>AND(#REF!,"AAAAACb/+nY=")</f>
        <v>#REF!</v>
      </c>
      <c r="DP9" t="e">
        <f>AND(#REF!,"AAAAACb/+nc=")</f>
        <v>#REF!</v>
      </c>
      <c r="DQ9" t="e">
        <f>AND(#REF!,"AAAAACb/+ng=")</f>
        <v>#REF!</v>
      </c>
      <c r="DR9" t="e">
        <f>AND(#REF!,"AAAAACb/+nk=")</f>
        <v>#REF!</v>
      </c>
      <c r="DS9" t="e">
        <f>AND(#REF!,"AAAAACb/+no=")</f>
        <v>#REF!</v>
      </c>
      <c r="DT9" t="e">
        <f>AND(#REF!,"AAAAACb/+ns=")</f>
        <v>#REF!</v>
      </c>
      <c r="DU9" t="e">
        <f>AND(#REF!,"AAAAACb/+nw=")</f>
        <v>#REF!</v>
      </c>
      <c r="DV9" t="e">
        <f>AND(#REF!,"AAAAACb/+n0=")</f>
        <v>#REF!</v>
      </c>
      <c r="DW9" t="e">
        <f>AND(#REF!,"AAAAACb/+n4=")</f>
        <v>#REF!</v>
      </c>
      <c r="DX9" t="e">
        <f>AND(#REF!,"AAAAACb/+n8=")</f>
        <v>#REF!</v>
      </c>
      <c r="DY9" t="e">
        <f>AND(#REF!,"AAAAACb/+oA=")</f>
        <v>#REF!</v>
      </c>
      <c r="DZ9" t="e">
        <f>AND(#REF!,"AAAAACb/+oE=")</f>
        <v>#REF!</v>
      </c>
      <c r="EA9" t="e">
        <f>AND(#REF!,"AAAAACb/+oI=")</f>
        <v>#REF!</v>
      </c>
      <c r="EB9" t="e">
        <f>AND(#REF!,"AAAAACb/+oM=")</f>
        <v>#REF!</v>
      </c>
      <c r="EC9" t="e">
        <f>AND(#REF!,"AAAAACb/+oQ=")</f>
        <v>#REF!</v>
      </c>
      <c r="ED9" t="e">
        <f>AND(#REF!,"AAAAACb/+oU=")</f>
        <v>#REF!</v>
      </c>
      <c r="EE9" t="e">
        <f>AND(#REF!,"AAAAACb/+oY=")</f>
        <v>#REF!</v>
      </c>
      <c r="EF9" t="e">
        <f>AND(#REF!,"AAAAACb/+oc=")</f>
        <v>#REF!</v>
      </c>
      <c r="EG9" t="e">
        <f>IF(#REF!,"AAAAACb/+og=",0)</f>
        <v>#REF!</v>
      </c>
      <c r="EH9" t="e">
        <f>AND(#REF!,"AAAAACb/+ok=")</f>
        <v>#REF!</v>
      </c>
      <c r="EI9" t="e">
        <f>AND(#REF!,"AAAAACb/+oo=")</f>
        <v>#REF!</v>
      </c>
      <c r="EJ9" t="e">
        <f>AND(#REF!,"AAAAACb/+os=")</f>
        <v>#REF!</v>
      </c>
      <c r="EK9" t="e">
        <f>AND(#REF!,"AAAAACb/+ow=")</f>
        <v>#REF!</v>
      </c>
      <c r="EL9" t="e">
        <f>AND(#REF!,"AAAAACb/+o0=")</f>
        <v>#REF!</v>
      </c>
      <c r="EM9" t="e">
        <f>AND(#REF!,"AAAAACb/+o4=")</f>
        <v>#REF!</v>
      </c>
      <c r="EN9" t="e">
        <f>AND(#REF!,"AAAAACb/+o8=")</f>
        <v>#REF!</v>
      </c>
      <c r="EO9" t="e">
        <f>AND(#REF!,"AAAAACb/+pA=")</f>
        <v>#REF!</v>
      </c>
      <c r="EP9" t="e">
        <f>AND(#REF!,"AAAAACb/+pE=")</f>
        <v>#REF!</v>
      </c>
      <c r="EQ9" t="e">
        <f>AND(#REF!,"AAAAACb/+pI=")</f>
        <v>#REF!</v>
      </c>
      <c r="ER9" t="e">
        <f>AND(#REF!,"AAAAACb/+pM=")</f>
        <v>#REF!</v>
      </c>
      <c r="ES9" t="e">
        <f>AND(#REF!,"AAAAACb/+pQ=")</f>
        <v>#REF!</v>
      </c>
      <c r="ET9" t="e">
        <f>AND(#REF!,"AAAAACb/+pU=")</f>
        <v>#REF!</v>
      </c>
      <c r="EU9" t="e">
        <f>AND(#REF!,"AAAAACb/+pY=")</f>
        <v>#REF!</v>
      </c>
      <c r="EV9" t="e">
        <f>AND(#REF!,"AAAAACb/+pc=")</f>
        <v>#REF!</v>
      </c>
      <c r="EW9" t="e">
        <f>AND(#REF!,"AAAAACb/+pg=")</f>
        <v>#REF!</v>
      </c>
      <c r="EX9" t="e">
        <f>AND(#REF!,"AAAAACb/+pk=")</f>
        <v>#REF!</v>
      </c>
      <c r="EY9" t="e">
        <f>AND(#REF!,"AAAAACb/+po=")</f>
        <v>#REF!</v>
      </c>
      <c r="EZ9" t="e">
        <f>AND(#REF!,"AAAAACb/+ps=")</f>
        <v>#REF!</v>
      </c>
      <c r="FA9" t="e">
        <f>AND(#REF!,"AAAAACb/+pw=")</f>
        <v>#REF!</v>
      </c>
      <c r="FB9" t="e">
        <f>AND(#REF!,"AAAAACb/+p0=")</f>
        <v>#REF!</v>
      </c>
      <c r="FC9" t="e">
        <f>AND(#REF!,"AAAAACb/+p4=")</f>
        <v>#REF!</v>
      </c>
      <c r="FD9" t="e">
        <f>AND(#REF!,"AAAAACb/+p8=")</f>
        <v>#REF!</v>
      </c>
      <c r="FE9" t="e">
        <f>IF(#REF!,"AAAAACb/+qA=",0)</f>
        <v>#REF!</v>
      </c>
      <c r="FF9" t="e">
        <f>AND(#REF!,"AAAAACb/+qE=")</f>
        <v>#REF!</v>
      </c>
      <c r="FG9" t="e">
        <f>AND(#REF!,"AAAAACb/+qI=")</f>
        <v>#REF!</v>
      </c>
      <c r="FH9" t="e">
        <f>AND(#REF!,"AAAAACb/+qM=")</f>
        <v>#REF!</v>
      </c>
      <c r="FI9" t="e">
        <f>AND(#REF!,"AAAAACb/+qQ=")</f>
        <v>#REF!</v>
      </c>
      <c r="FJ9" t="e">
        <f>AND(#REF!,"AAAAACb/+qU=")</f>
        <v>#REF!</v>
      </c>
      <c r="FK9" t="e">
        <f>AND(#REF!,"AAAAACb/+qY=")</f>
        <v>#REF!</v>
      </c>
      <c r="FL9" t="e">
        <f>AND(#REF!,"AAAAACb/+qc=")</f>
        <v>#REF!</v>
      </c>
      <c r="FM9" t="e">
        <f>AND(#REF!,"AAAAACb/+qg=")</f>
        <v>#REF!</v>
      </c>
      <c r="FN9" t="e">
        <f>AND(#REF!,"AAAAACb/+qk=")</f>
        <v>#REF!</v>
      </c>
      <c r="FO9" t="e">
        <f>AND(#REF!,"AAAAACb/+qo=")</f>
        <v>#REF!</v>
      </c>
      <c r="FP9" t="e">
        <f>AND(#REF!,"AAAAACb/+qs=")</f>
        <v>#REF!</v>
      </c>
      <c r="FQ9" t="e">
        <f>AND(#REF!,"AAAAACb/+qw=")</f>
        <v>#REF!</v>
      </c>
      <c r="FR9" t="e">
        <f>AND(#REF!,"AAAAACb/+q0=")</f>
        <v>#REF!</v>
      </c>
      <c r="FS9" t="e">
        <f>AND(#REF!,"AAAAACb/+q4=")</f>
        <v>#REF!</v>
      </c>
      <c r="FT9" t="e">
        <f>AND(#REF!,"AAAAACb/+q8=")</f>
        <v>#REF!</v>
      </c>
      <c r="FU9" t="e">
        <f>AND(#REF!,"AAAAACb/+rA=")</f>
        <v>#REF!</v>
      </c>
      <c r="FV9" t="e">
        <f>AND(#REF!,"AAAAACb/+rE=")</f>
        <v>#REF!</v>
      </c>
      <c r="FW9" t="e">
        <f>AND(#REF!,"AAAAACb/+rI=")</f>
        <v>#REF!</v>
      </c>
      <c r="FX9" t="e">
        <f>AND(#REF!,"AAAAACb/+rM=")</f>
        <v>#REF!</v>
      </c>
      <c r="FY9" t="e">
        <f>AND(#REF!,"AAAAACb/+rQ=")</f>
        <v>#REF!</v>
      </c>
      <c r="FZ9" t="e">
        <f>AND(#REF!,"AAAAACb/+rU=")</f>
        <v>#REF!</v>
      </c>
      <c r="GA9" t="e">
        <f>AND(#REF!,"AAAAACb/+rY=")</f>
        <v>#REF!</v>
      </c>
      <c r="GB9" t="e">
        <f>AND(#REF!,"AAAAACb/+rc=")</f>
        <v>#REF!</v>
      </c>
      <c r="GC9" t="e">
        <f>IF(#REF!,"AAAAACb/+rg=",0)</f>
        <v>#REF!</v>
      </c>
      <c r="GD9" t="e">
        <f>AND(#REF!,"AAAAACb/+rk=")</f>
        <v>#REF!</v>
      </c>
      <c r="GE9" t="e">
        <f>AND(#REF!,"AAAAACb/+ro=")</f>
        <v>#REF!</v>
      </c>
      <c r="GF9" t="e">
        <f>AND(#REF!,"AAAAACb/+rs=")</f>
        <v>#REF!</v>
      </c>
      <c r="GG9" t="e">
        <f>AND(#REF!,"AAAAACb/+rw=")</f>
        <v>#REF!</v>
      </c>
      <c r="GH9" t="e">
        <f>AND(#REF!,"AAAAACb/+r0=")</f>
        <v>#REF!</v>
      </c>
      <c r="GI9" t="e">
        <f>AND(#REF!,"AAAAACb/+r4=")</f>
        <v>#REF!</v>
      </c>
      <c r="GJ9" t="e">
        <f>AND(#REF!,"AAAAACb/+r8=")</f>
        <v>#REF!</v>
      </c>
      <c r="GK9" t="e">
        <f>AND(#REF!,"AAAAACb/+sA=")</f>
        <v>#REF!</v>
      </c>
      <c r="GL9" t="e">
        <f>AND(#REF!,"AAAAACb/+sE=")</f>
        <v>#REF!</v>
      </c>
      <c r="GM9" t="e">
        <f>AND(#REF!,"AAAAACb/+sI=")</f>
        <v>#REF!</v>
      </c>
      <c r="GN9" t="e">
        <f>AND(#REF!,"AAAAACb/+sM=")</f>
        <v>#REF!</v>
      </c>
      <c r="GO9" t="e">
        <f>AND(#REF!,"AAAAACb/+sQ=")</f>
        <v>#REF!</v>
      </c>
      <c r="GP9" t="e">
        <f>AND(#REF!,"AAAAACb/+sU=")</f>
        <v>#REF!</v>
      </c>
      <c r="GQ9" t="e">
        <f>AND(#REF!,"AAAAACb/+sY=")</f>
        <v>#REF!</v>
      </c>
      <c r="GR9" t="e">
        <f>AND(#REF!,"AAAAACb/+sc=")</f>
        <v>#REF!</v>
      </c>
      <c r="GS9" t="e">
        <f>AND(#REF!,"AAAAACb/+sg=")</f>
        <v>#REF!</v>
      </c>
      <c r="GT9" t="e">
        <f>AND(#REF!,"AAAAACb/+sk=")</f>
        <v>#REF!</v>
      </c>
      <c r="GU9" t="e">
        <f>AND(#REF!,"AAAAACb/+so=")</f>
        <v>#REF!</v>
      </c>
      <c r="GV9" t="e">
        <f>AND(#REF!,"AAAAACb/+ss=")</f>
        <v>#REF!</v>
      </c>
      <c r="GW9" t="e">
        <f>AND(#REF!,"AAAAACb/+sw=")</f>
        <v>#REF!</v>
      </c>
      <c r="GX9" t="e">
        <f>AND(#REF!,"AAAAACb/+s0=")</f>
        <v>#REF!</v>
      </c>
      <c r="GY9" t="e">
        <f>AND(#REF!,"AAAAACb/+s4=")</f>
        <v>#REF!</v>
      </c>
      <c r="GZ9" t="e">
        <f>AND(#REF!,"AAAAACb/+s8=")</f>
        <v>#REF!</v>
      </c>
      <c r="HA9" t="e">
        <f>IF(#REF!,"AAAAACb/+tA=",0)</f>
        <v>#REF!</v>
      </c>
      <c r="HB9" t="e">
        <f>AND(#REF!,"AAAAACb/+tE=")</f>
        <v>#REF!</v>
      </c>
      <c r="HC9" t="e">
        <f>AND(#REF!,"AAAAACb/+tI=")</f>
        <v>#REF!</v>
      </c>
      <c r="HD9" t="e">
        <f>AND(#REF!,"AAAAACb/+tM=")</f>
        <v>#REF!</v>
      </c>
      <c r="HE9" t="e">
        <f>AND(#REF!,"AAAAACb/+tQ=")</f>
        <v>#REF!</v>
      </c>
      <c r="HF9" t="e">
        <f>AND(#REF!,"AAAAACb/+tU=")</f>
        <v>#REF!</v>
      </c>
      <c r="HG9" t="e">
        <f>AND(#REF!,"AAAAACb/+tY=")</f>
        <v>#REF!</v>
      </c>
      <c r="HH9" t="e">
        <f>AND(#REF!,"AAAAACb/+tc=")</f>
        <v>#REF!</v>
      </c>
      <c r="HI9" t="e">
        <f>AND(#REF!,"AAAAACb/+tg=")</f>
        <v>#REF!</v>
      </c>
      <c r="HJ9" t="e">
        <f>AND(#REF!,"AAAAACb/+tk=")</f>
        <v>#REF!</v>
      </c>
      <c r="HK9" t="e">
        <f>AND(#REF!,"AAAAACb/+to=")</f>
        <v>#REF!</v>
      </c>
      <c r="HL9" t="e">
        <f>AND(#REF!,"AAAAACb/+ts=")</f>
        <v>#REF!</v>
      </c>
      <c r="HM9" t="e">
        <f>AND(#REF!,"AAAAACb/+tw=")</f>
        <v>#REF!</v>
      </c>
      <c r="HN9" t="e">
        <f>AND(#REF!,"AAAAACb/+t0=")</f>
        <v>#REF!</v>
      </c>
      <c r="HO9" t="e">
        <f>AND(#REF!,"AAAAACb/+t4=")</f>
        <v>#REF!</v>
      </c>
      <c r="HP9" t="e">
        <f>AND(#REF!,"AAAAACb/+t8=")</f>
        <v>#REF!</v>
      </c>
      <c r="HQ9" t="e">
        <f>AND(#REF!,"AAAAACb/+uA=")</f>
        <v>#REF!</v>
      </c>
      <c r="HR9" t="e">
        <f>AND(#REF!,"AAAAACb/+uE=")</f>
        <v>#REF!</v>
      </c>
      <c r="HS9" t="e">
        <f>AND(#REF!,"AAAAACb/+uI=")</f>
        <v>#REF!</v>
      </c>
      <c r="HT9" t="e">
        <f>AND(#REF!,"AAAAACb/+uM=")</f>
        <v>#REF!</v>
      </c>
      <c r="HU9" t="e">
        <f>AND(#REF!,"AAAAACb/+uQ=")</f>
        <v>#REF!</v>
      </c>
      <c r="HV9" t="e">
        <f>AND(#REF!,"AAAAACb/+uU=")</f>
        <v>#REF!</v>
      </c>
      <c r="HW9" t="e">
        <f>AND(#REF!,"AAAAACb/+uY=")</f>
        <v>#REF!</v>
      </c>
      <c r="HX9" t="e">
        <f>AND(#REF!,"AAAAACb/+uc=")</f>
        <v>#REF!</v>
      </c>
      <c r="HY9" t="e">
        <f>IF(#REF!,"AAAAACb/+ug=",0)</f>
        <v>#REF!</v>
      </c>
      <c r="HZ9" t="e">
        <f>AND(#REF!,"AAAAACb/+uk=")</f>
        <v>#REF!</v>
      </c>
      <c r="IA9" t="e">
        <f>AND(#REF!,"AAAAACb/+uo=")</f>
        <v>#REF!</v>
      </c>
      <c r="IB9" t="e">
        <f>AND(#REF!,"AAAAACb/+us=")</f>
        <v>#REF!</v>
      </c>
      <c r="IC9" t="e">
        <f>AND(#REF!,"AAAAACb/+uw=")</f>
        <v>#REF!</v>
      </c>
      <c r="ID9" t="e">
        <f>AND(#REF!,"AAAAACb/+u0=")</f>
        <v>#REF!</v>
      </c>
      <c r="IE9" t="e">
        <f>AND(#REF!,"AAAAACb/+u4=")</f>
        <v>#REF!</v>
      </c>
      <c r="IF9" t="e">
        <f>AND(#REF!,"AAAAACb/+u8=")</f>
        <v>#REF!</v>
      </c>
      <c r="IG9" t="e">
        <f>AND(#REF!,"AAAAACb/+vA=")</f>
        <v>#REF!</v>
      </c>
      <c r="IH9" t="e">
        <f>AND(#REF!,"AAAAACb/+vE=")</f>
        <v>#REF!</v>
      </c>
      <c r="II9" t="e">
        <f>AND(#REF!,"AAAAACb/+vI=")</f>
        <v>#REF!</v>
      </c>
      <c r="IJ9" t="e">
        <f>AND(#REF!,"AAAAACb/+vM=")</f>
        <v>#REF!</v>
      </c>
      <c r="IK9" t="e">
        <f>AND(#REF!,"AAAAACb/+vQ=")</f>
        <v>#REF!</v>
      </c>
      <c r="IL9" t="e">
        <f>AND(#REF!,"AAAAACb/+vU=")</f>
        <v>#REF!</v>
      </c>
      <c r="IM9" t="e">
        <f>AND(#REF!,"AAAAACb/+vY=")</f>
        <v>#REF!</v>
      </c>
      <c r="IN9" t="e">
        <f>AND(#REF!,"AAAAACb/+vc=")</f>
        <v>#REF!</v>
      </c>
      <c r="IO9" t="e">
        <f>AND(#REF!,"AAAAACb/+vg=")</f>
        <v>#REF!</v>
      </c>
      <c r="IP9" t="e">
        <f>AND(#REF!,"AAAAACb/+vk=")</f>
        <v>#REF!</v>
      </c>
      <c r="IQ9" t="e">
        <f>AND(#REF!,"AAAAACb/+vo=")</f>
        <v>#REF!</v>
      </c>
      <c r="IR9" t="e">
        <f>AND(#REF!,"AAAAACb/+vs=")</f>
        <v>#REF!</v>
      </c>
      <c r="IS9" t="e">
        <f>AND(#REF!,"AAAAACb/+vw=")</f>
        <v>#REF!</v>
      </c>
      <c r="IT9" t="e">
        <f>AND(#REF!,"AAAAACb/+v0=")</f>
        <v>#REF!</v>
      </c>
      <c r="IU9" t="e">
        <f>AND(#REF!,"AAAAACb/+v4=")</f>
        <v>#REF!</v>
      </c>
      <c r="IV9" t="e">
        <f>AND(#REF!,"AAAAACb/+v8=")</f>
        <v>#REF!</v>
      </c>
    </row>
    <row r="10" spans="1:256" x14ac:dyDescent="0.25">
      <c r="A10" t="e">
        <f>IF(#REF!,"AAAAAHRr/wA=",0)</f>
        <v>#REF!</v>
      </c>
      <c r="B10" t="e">
        <f>AND(#REF!,"AAAAAHRr/wE=")</f>
        <v>#REF!</v>
      </c>
      <c r="C10" t="e">
        <f>AND(#REF!,"AAAAAHRr/wI=")</f>
        <v>#REF!</v>
      </c>
      <c r="D10" t="e">
        <f>AND(#REF!,"AAAAAHRr/wM=")</f>
        <v>#REF!</v>
      </c>
      <c r="E10" t="e">
        <f>AND(#REF!,"AAAAAHRr/wQ=")</f>
        <v>#REF!</v>
      </c>
      <c r="F10" t="e">
        <f>AND(#REF!,"AAAAAHRr/wU=")</f>
        <v>#REF!</v>
      </c>
      <c r="G10" t="e">
        <f>AND(#REF!,"AAAAAHRr/wY=")</f>
        <v>#REF!</v>
      </c>
      <c r="H10" t="e">
        <f>AND(#REF!,"AAAAAHRr/wc=")</f>
        <v>#REF!</v>
      </c>
      <c r="I10" t="e">
        <f>AND(#REF!,"AAAAAHRr/wg=")</f>
        <v>#REF!</v>
      </c>
      <c r="J10" t="e">
        <f>AND(#REF!,"AAAAAHRr/wk=")</f>
        <v>#REF!</v>
      </c>
      <c r="K10" t="e">
        <f>AND(#REF!,"AAAAAHRr/wo=")</f>
        <v>#REF!</v>
      </c>
      <c r="L10" t="e">
        <f>AND(#REF!,"AAAAAHRr/ws=")</f>
        <v>#REF!</v>
      </c>
      <c r="M10" t="e">
        <f>AND(#REF!,"AAAAAHRr/ww=")</f>
        <v>#REF!</v>
      </c>
      <c r="N10" t="e">
        <f>AND(#REF!,"AAAAAHRr/w0=")</f>
        <v>#REF!</v>
      </c>
      <c r="O10" t="e">
        <f>AND(#REF!,"AAAAAHRr/w4=")</f>
        <v>#REF!</v>
      </c>
      <c r="P10" t="e">
        <f>AND(#REF!,"AAAAAHRr/w8=")</f>
        <v>#REF!</v>
      </c>
      <c r="Q10" t="e">
        <f>AND(#REF!,"AAAAAHRr/xA=")</f>
        <v>#REF!</v>
      </c>
      <c r="R10" t="e">
        <f>AND(#REF!,"AAAAAHRr/xE=")</f>
        <v>#REF!</v>
      </c>
      <c r="S10" t="e">
        <f>AND(#REF!,"AAAAAHRr/xI=")</f>
        <v>#REF!</v>
      </c>
      <c r="T10" t="e">
        <f>AND(#REF!,"AAAAAHRr/xM=")</f>
        <v>#REF!</v>
      </c>
      <c r="U10" t="e">
        <f>AND(#REF!,"AAAAAHRr/xQ=")</f>
        <v>#REF!</v>
      </c>
      <c r="V10" t="e">
        <f>AND(#REF!,"AAAAAHRr/xU=")</f>
        <v>#REF!</v>
      </c>
      <c r="W10" t="e">
        <f>AND(#REF!,"AAAAAHRr/xY=")</f>
        <v>#REF!</v>
      </c>
      <c r="X10" t="e">
        <f>AND(#REF!,"AAAAAHRr/xc=")</f>
        <v>#REF!</v>
      </c>
      <c r="Y10" t="e">
        <f>IF(#REF!,"AAAAAHRr/xg=",0)</f>
        <v>#REF!</v>
      </c>
      <c r="Z10" t="e">
        <f>AND(#REF!,"AAAAAHRr/xk=")</f>
        <v>#REF!</v>
      </c>
      <c r="AA10" t="e">
        <f>AND(#REF!,"AAAAAHRr/xo=")</f>
        <v>#REF!</v>
      </c>
      <c r="AB10" t="e">
        <f>AND(#REF!,"AAAAAHRr/xs=")</f>
        <v>#REF!</v>
      </c>
      <c r="AC10" t="e">
        <f>AND(#REF!,"AAAAAHRr/xw=")</f>
        <v>#REF!</v>
      </c>
      <c r="AD10" t="e">
        <f>AND(#REF!,"AAAAAHRr/x0=")</f>
        <v>#REF!</v>
      </c>
      <c r="AE10" t="e">
        <f>AND(#REF!,"AAAAAHRr/x4=")</f>
        <v>#REF!</v>
      </c>
      <c r="AF10" t="e">
        <f>AND(#REF!,"AAAAAHRr/x8=")</f>
        <v>#REF!</v>
      </c>
      <c r="AG10" t="e">
        <f>AND(#REF!,"AAAAAHRr/yA=")</f>
        <v>#REF!</v>
      </c>
      <c r="AH10" t="e">
        <f>AND(#REF!,"AAAAAHRr/yE=")</f>
        <v>#REF!</v>
      </c>
      <c r="AI10" t="e">
        <f>AND(#REF!,"AAAAAHRr/yI=")</f>
        <v>#REF!</v>
      </c>
      <c r="AJ10" t="e">
        <f>AND(#REF!,"AAAAAHRr/yM=")</f>
        <v>#REF!</v>
      </c>
      <c r="AK10" t="e">
        <f>AND(#REF!,"AAAAAHRr/yQ=")</f>
        <v>#REF!</v>
      </c>
      <c r="AL10" t="e">
        <f>AND(#REF!,"AAAAAHRr/yU=")</f>
        <v>#REF!</v>
      </c>
      <c r="AM10" t="e">
        <f>AND(#REF!,"AAAAAHRr/yY=")</f>
        <v>#REF!</v>
      </c>
      <c r="AN10" t="e">
        <f>AND(#REF!,"AAAAAHRr/yc=")</f>
        <v>#REF!</v>
      </c>
      <c r="AO10" t="e">
        <f>AND(#REF!,"AAAAAHRr/yg=")</f>
        <v>#REF!</v>
      </c>
      <c r="AP10" t="e">
        <f>AND(#REF!,"AAAAAHRr/yk=")</f>
        <v>#REF!</v>
      </c>
      <c r="AQ10" t="e">
        <f>AND(#REF!,"AAAAAHRr/yo=")</f>
        <v>#REF!</v>
      </c>
      <c r="AR10" t="e">
        <f>AND(#REF!,"AAAAAHRr/ys=")</f>
        <v>#REF!</v>
      </c>
      <c r="AS10" t="e">
        <f>AND(#REF!,"AAAAAHRr/yw=")</f>
        <v>#REF!</v>
      </c>
      <c r="AT10" t="e">
        <f>AND(#REF!,"AAAAAHRr/y0=")</f>
        <v>#REF!</v>
      </c>
      <c r="AU10" t="e">
        <f>AND(#REF!,"AAAAAHRr/y4=")</f>
        <v>#REF!</v>
      </c>
      <c r="AV10" t="e">
        <f>AND(#REF!,"AAAAAHRr/y8=")</f>
        <v>#REF!</v>
      </c>
      <c r="AW10" t="e">
        <f>IF(#REF!,"AAAAAHRr/zA=",0)</f>
        <v>#REF!</v>
      </c>
      <c r="AX10" t="e">
        <f>AND(#REF!,"AAAAAHRr/zE=")</f>
        <v>#REF!</v>
      </c>
      <c r="AY10" t="e">
        <f>AND(#REF!,"AAAAAHRr/zI=")</f>
        <v>#REF!</v>
      </c>
      <c r="AZ10" t="e">
        <f>AND(#REF!,"AAAAAHRr/zM=")</f>
        <v>#REF!</v>
      </c>
      <c r="BA10" t="e">
        <f>AND(#REF!,"AAAAAHRr/zQ=")</f>
        <v>#REF!</v>
      </c>
      <c r="BB10" t="e">
        <f>AND(#REF!,"AAAAAHRr/zU=")</f>
        <v>#REF!</v>
      </c>
      <c r="BC10" t="e">
        <f>AND(#REF!,"AAAAAHRr/zY=")</f>
        <v>#REF!</v>
      </c>
      <c r="BD10" t="e">
        <f>AND(#REF!,"AAAAAHRr/zc=")</f>
        <v>#REF!</v>
      </c>
      <c r="BE10" t="e">
        <f>AND(#REF!,"AAAAAHRr/zg=")</f>
        <v>#REF!</v>
      </c>
      <c r="BF10" t="e">
        <f>AND(#REF!,"AAAAAHRr/zk=")</f>
        <v>#REF!</v>
      </c>
      <c r="BG10" t="e">
        <f>AND(#REF!,"AAAAAHRr/zo=")</f>
        <v>#REF!</v>
      </c>
      <c r="BH10" t="e">
        <f>AND(#REF!,"AAAAAHRr/zs=")</f>
        <v>#REF!</v>
      </c>
      <c r="BI10" t="e">
        <f>AND(#REF!,"AAAAAHRr/zw=")</f>
        <v>#REF!</v>
      </c>
      <c r="BJ10" t="e">
        <f>AND(#REF!,"AAAAAHRr/z0=")</f>
        <v>#REF!</v>
      </c>
      <c r="BK10" t="e">
        <f>AND(#REF!,"AAAAAHRr/z4=")</f>
        <v>#REF!</v>
      </c>
      <c r="BL10" t="e">
        <f>AND(#REF!,"AAAAAHRr/z8=")</f>
        <v>#REF!</v>
      </c>
      <c r="BM10" t="e">
        <f>AND(#REF!,"AAAAAHRr/0A=")</f>
        <v>#REF!</v>
      </c>
      <c r="BN10" t="e">
        <f>AND(#REF!,"AAAAAHRr/0E=")</f>
        <v>#REF!</v>
      </c>
      <c r="BO10" t="e">
        <f>AND(#REF!,"AAAAAHRr/0I=")</f>
        <v>#REF!</v>
      </c>
      <c r="BP10" t="e">
        <f>AND(#REF!,"AAAAAHRr/0M=")</f>
        <v>#REF!</v>
      </c>
      <c r="BQ10" t="e">
        <f>AND(#REF!,"AAAAAHRr/0Q=")</f>
        <v>#REF!</v>
      </c>
      <c r="BR10" t="e">
        <f>AND(#REF!,"AAAAAHRr/0U=")</f>
        <v>#REF!</v>
      </c>
      <c r="BS10" t="e">
        <f>AND(#REF!,"AAAAAHRr/0Y=")</f>
        <v>#REF!</v>
      </c>
      <c r="BT10" t="e">
        <f>AND(#REF!,"AAAAAHRr/0c=")</f>
        <v>#REF!</v>
      </c>
      <c r="BU10" t="e">
        <f>IF(#REF!,"AAAAAHRr/0g=",0)</f>
        <v>#REF!</v>
      </c>
      <c r="BV10" t="e">
        <f>AND(#REF!,"AAAAAHRr/0k=")</f>
        <v>#REF!</v>
      </c>
      <c r="BW10" t="e">
        <f>AND(#REF!,"AAAAAHRr/0o=")</f>
        <v>#REF!</v>
      </c>
      <c r="BX10" t="e">
        <f>AND(#REF!,"AAAAAHRr/0s=")</f>
        <v>#REF!</v>
      </c>
      <c r="BY10" t="e">
        <f>AND(#REF!,"AAAAAHRr/0w=")</f>
        <v>#REF!</v>
      </c>
      <c r="BZ10" t="e">
        <f>AND(#REF!,"AAAAAHRr/00=")</f>
        <v>#REF!</v>
      </c>
      <c r="CA10" t="e">
        <f>AND(#REF!,"AAAAAHRr/04=")</f>
        <v>#REF!</v>
      </c>
      <c r="CB10" t="e">
        <f>AND(#REF!,"AAAAAHRr/08=")</f>
        <v>#REF!</v>
      </c>
      <c r="CC10" t="e">
        <f>AND(#REF!,"AAAAAHRr/1A=")</f>
        <v>#REF!</v>
      </c>
      <c r="CD10" t="e">
        <f>AND(#REF!,"AAAAAHRr/1E=")</f>
        <v>#REF!</v>
      </c>
      <c r="CE10" t="e">
        <f>AND(#REF!,"AAAAAHRr/1I=")</f>
        <v>#REF!</v>
      </c>
      <c r="CF10" t="e">
        <f>AND(#REF!,"AAAAAHRr/1M=")</f>
        <v>#REF!</v>
      </c>
      <c r="CG10" t="e">
        <f>AND(#REF!,"AAAAAHRr/1Q=")</f>
        <v>#REF!</v>
      </c>
      <c r="CH10" t="e">
        <f>AND(#REF!,"AAAAAHRr/1U=")</f>
        <v>#REF!</v>
      </c>
      <c r="CI10" t="e">
        <f>AND(#REF!,"AAAAAHRr/1Y=")</f>
        <v>#REF!</v>
      </c>
      <c r="CJ10" t="e">
        <f>AND(#REF!,"AAAAAHRr/1c=")</f>
        <v>#REF!</v>
      </c>
      <c r="CK10" t="e">
        <f>AND(#REF!,"AAAAAHRr/1g=")</f>
        <v>#REF!</v>
      </c>
      <c r="CL10" t="e">
        <f>AND(#REF!,"AAAAAHRr/1k=")</f>
        <v>#REF!</v>
      </c>
      <c r="CM10" t="e">
        <f>AND(#REF!,"AAAAAHRr/1o=")</f>
        <v>#REF!</v>
      </c>
      <c r="CN10" t="e">
        <f>AND(#REF!,"AAAAAHRr/1s=")</f>
        <v>#REF!</v>
      </c>
      <c r="CO10" t="e">
        <f>AND(#REF!,"AAAAAHRr/1w=")</f>
        <v>#REF!</v>
      </c>
      <c r="CP10" t="e">
        <f>AND(#REF!,"AAAAAHRr/10=")</f>
        <v>#REF!</v>
      </c>
      <c r="CQ10" t="e">
        <f>AND(#REF!,"AAAAAHRr/14=")</f>
        <v>#REF!</v>
      </c>
      <c r="CR10" t="e">
        <f>AND(#REF!,"AAAAAHRr/18=")</f>
        <v>#REF!</v>
      </c>
      <c r="CS10" t="e">
        <f>IF(#REF!,"AAAAAHRr/2A=",0)</f>
        <v>#REF!</v>
      </c>
      <c r="CT10" t="e">
        <f>AND(#REF!,"AAAAAHRr/2E=")</f>
        <v>#REF!</v>
      </c>
      <c r="CU10" t="e">
        <f>AND(#REF!,"AAAAAHRr/2I=")</f>
        <v>#REF!</v>
      </c>
      <c r="CV10" t="e">
        <f>AND(#REF!,"AAAAAHRr/2M=")</f>
        <v>#REF!</v>
      </c>
      <c r="CW10" t="e">
        <f>AND(#REF!,"AAAAAHRr/2Q=")</f>
        <v>#REF!</v>
      </c>
      <c r="CX10" t="e">
        <f>AND(#REF!,"AAAAAHRr/2U=")</f>
        <v>#REF!</v>
      </c>
      <c r="CY10" t="e">
        <f>AND(#REF!,"AAAAAHRr/2Y=")</f>
        <v>#REF!</v>
      </c>
      <c r="CZ10" t="e">
        <f>AND(#REF!,"AAAAAHRr/2c=")</f>
        <v>#REF!</v>
      </c>
      <c r="DA10" t="e">
        <f>AND(#REF!,"AAAAAHRr/2g=")</f>
        <v>#REF!</v>
      </c>
      <c r="DB10" t="e">
        <f>AND(#REF!,"AAAAAHRr/2k=")</f>
        <v>#REF!</v>
      </c>
      <c r="DC10" t="e">
        <f>AND(#REF!,"AAAAAHRr/2o=")</f>
        <v>#REF!</v>
      </c>
      <c r="DD10" t="e">
        <f>AND(#REF!,"AAAAAHRr/2s=")</f>
        <v>#REF!</v>
      </c>
      <c r="DE10" t="e">
        <f>AND(#REF!,"AAAAAHRr/2w=")</f>
        <v>#REF!</v>
      </c>
      <c r="DF10" t="e">
        <f>AND(#REF!,"AAAAAHRr/20=")</f>
        <v>#REF!</v>
      </c>
      <c r="DG10" t="e">
        <f>AND(#REF!,"AAAAAHRr/24=")</f>
        <v>#REF!</v>
      </c>
      <c r="DH10" t="e">
        <f>AND(#REF!,"AAAAAHRr/28=")</f>
        <v>#REF!</v>
      </c>
      <c r="DI10" t="e">
        <f>AND(#REF!,"AAAAAHRr/3A=")</f>
        <v>#REF!</v>
      </c>
      <c r="DJ10" t="e">
        <f>AND(#REF!,"AAAAAHRr/3E=")</f>
        <v>#REF!</v>
      </c>
      <c r="DK10" t="e">
        <f>AND(#REF!,"AAAAAHRr/3I=")</f>
        <v>#REF!</v>
      </c>
      <c r="DL10" t="e">
        <f>AND(#REF!,"AAAAAHRr/3M=")</f>
        <v>#REF!</v>
      </c>
      <c r="DM10" t="e">
        <f>AND(#REF!,"AAAAAHRr/3Q=")</f>
        <v>#REF!</v>
      </c>
      <c r="DN10" t="e">
        <f>AND(#REF!,"AAAAAHRr/3U=")</f>
        <v>#REF!</v>
      </c>
      <c r="DO10" t="e">
        <f>AND(#REF!,"AAAAAHRr/3Y=")</f>
        <v>#REF!</v>
      </c>
      <c r="DP10" t="e">
        <f>AND(#REF!,"AAAAAHRr/3c=")</f>
        <v>#REF!</v>
      </c>
      <c r="DQ10" t="e">
        <f>IF(#REF!,"AAAAAHRr/3g=",0)</f>
        <v>#REF!</v>
      </c>
      <c r="DR10" t="e">
        <f>AND(#REF!,"AAAAAHRr/3k=")</f>
        <v>#REF!</v>
      </c>
      <c r="DS10" t="e">
        <f>AND(#REF!,"AAAAAHRr/3o=")</f>
        <v>#REF!</v>
      </c>
      <c r="DT10" t="e">
        <f>AND(#REF!,"AAAAAHRr/3s=")</f>
        <v>#REF!</v>
      </c>
      <c r="DU10" t="e">
        <f>AND(#REF!,"AAAAAHRr/3w=")</f>
        <v>#REF!</v>
      </c>
      <c r="DV10" t="e">
        <f>AND(#REF!,"AAAAAHRr/30=")</f>
        <v>#REF!</v>
      </c>
      <c r="DW10" t="e">
        <f>AND(#REF!,"AAAAAHRr/34=")</f>
        <v>#REF!</v>
      </c>
      <c r="DX10" t="e">
        <f>AND(#REF!,"AAAAAHRr/38=")</f>
        <v>#REF!</v>
      </c>
      <c r="DY10" t="e">
        <f>AND(#REF!,"AAAAAHRr/4A=")</f>
        <v>#REF!</v>
      </c>
      <c r="DZ10" t="e">
        <f>AND(#REF!,"AAAAAHRr/4E=")</f>
        <v>#REF!</v>
      </c>
      <c r="EA10" t="e">
        <f>AND(#REF!,"AAAAAHRr/4I=")</f>
        <v>#REF!</v>
      </c>
      <c r="EB10" t="e">
        <f>AND(#REF!,"AAAAAHRr/4M=")</f>
        <v>#REF!</v>
      </c>
      <c r="EC10" t="e">
        <f>AND(#REF!,"AAAAAHRr/4Q=")</f>
        <v>#REF!</v>
      </c>
      <c r="ED10" t="e">
        <f>AND(#REF!,"AAAAAHRr/4U=")</f>
        <v>#REF!</v>
      </c>
      <c r="EE10" t="e">
        <f>AND(#REF!,"AAAAAHRr/4Y=")</f>
        <v>#REF!</v>
      </c>
      <c r="EF10" t="e">
        <f>AND(#REF!,"AAAAAHRr/4c=")</f>
        <v>#REF!</v>
      </c>
      <c r="EG10" t="e">
        <f>AND(#REF!,"AAAAAHRr/4g=")</f>
        <v>#REF!</v>
      </c>
      <c r="EH10" t="e">
        <f>AND(#REF!,"AAAAAHRr/4k=")</f>
        <v>#REF!</v>
      </c>
      <c r="EI10" t="e">
        <f>AND(#REF!,"AAAAAHRr/4o=")</f>
        <v>#REF!</v>
      </c>
      <c r="EJ10" t="e">
        <f>AND(#REF!,"AAAAAHRr/4s=")</f>
        <v>#REF!</v>
      </c>
      <c r="EK10" t="e">
        <f>AND(#REF!,"AAAAAHRr/4w=")</f>
        <v>#REF!</v>
      </c>
      <c r="EL10" t="e">
        <f>AND(#REF!,"AAAAAHRr/40=")</f>
        <v>#REF!</v>
      </c>
      <c r="EM10" t="e">
        <f>AND(#REF!,"AAAAAHRr/44=")</f>
        <v>#REF!</v>
      </c>
      <c r="EN10" t="e">
        <f>AND(#REF!,"AAAAAHRr/48=")</f>
        <v>#REF!</v>
      </c>
      <c r="EO10" t="e">
        <f>IF(#REF!,"AAAAAHRr/5A=",0)</f>
        <v>#REF!</v>
      </c>
      <c r="EP10" t="e">
        <f>AND(#REF!,"AAAAAHRr/5E=")</f>
        <v>#REF!</v>
      </c>
      <c r="EQ10" t="e">
        <f>AND(#REF!,"AAAAAHRr/5I=")</f>
        <v>#REF!</v>
      </c>
      <c r="ER10" t="e">
        <f>AND(#REF!,"AAAAAHRr/5M=")</f>
        <v>#REF!</v>
      </c>
      <c r="ES10" t="e">
        <f>AND(#REF!,"AAAAAHRr/5Q=")</f>
        <v>#REF!</v>
      </c>
      <c r="ET10" t="e">
        <f>AND(#REF!,"AAAAAHRr/5U=")</f>
        <v>#REF!</v>
      </c>
      <c r="EU10" t="e">
        <f>AND(#REF!,"AAAAAHRr/5Y=")</f>
        <v>#REF!</v>
      </c>
      <c r="EV10" t="e">
        <f>AND(#REF!,"AAAAAHRr/5c=")</f>
        <v>#REF!</v>
      </c>
      <c r="EW10" t="e">
        <f>AND(#REF!,"AAAAAHRr/5g=")</f>
        <v>#REF!</v>
      </c>
      <c r="EX10" t="e">
        <f>AND(#REF!,"AAAAAHRr/5k=")</f>
        <v>#REF!</v>
      </c>
      <c r="EY10" t="e">
        <f>AND(#REF!,"AAAAAHRr/5o=")</f>
        <v>#REF!</v>
      </c>
      <c r="EZ10" t="e">
        <f>AND(#REF!,"AAAAAHRr/5s=")</f>
        <v>#REF!</v>
      </c>
      <c r="FA10" t="e">
        <f>AND(#REF!,"AAAAAHRr/5w=")</f>
        <v>#REF!</v>
      </c>
      <c r="FB10" t="e">
        <f>AND(#REF!,"AAAAAHRr/50=")</f>
        <v>#REF!</v>
      </c>
      <c r="FC10" t="e">
        <f>AND(#REF!,"AAAAAHRr/54=")</f>
        <v>#REF!</v>
      </c>
      <c r="FD10" t="e">
        <f>AND(#REF!,"AAAAAHRr/58=")</f>
        <v>#REF!</v>
      </c>
      <c r="FE10" t="e">
        <f>AND(#REF!,"AAAAAHRr/6A=")</f>
        <v>#REF!</v>
      </c>
      <c r="FF10" t="e">
        <f>AND(#REF!,"AAAAAHRr/6E=")</f>
        <v>#REF!</v>
      </c>
      <c r="FG10" t="e">
        <f>AND(#REF!,"AAAAAHRr/6I=")</f>
        <v>#REF!</v>
      </c>
      <c r="FH10" t="e">
        <f>AND(#REF!,"AAAAAHRr/6M=")</f>
        <v>#REF!</v>
      </c>
      <c r="FI10" t="e">
        <f>AND(#REF!,"AAAAAHRr/6Q=")</f>
        <v>#REF!</v>
      </c>
      <c r="FJ10" t="e">
        <f>AND(#REF!,"AAAAAHRr/6U=")</f>
        <v>#REF!</v>
      </c>
      <c r="FK10" t="e">
        <f>AND(#REF!,"AAAAAHRr/6Y=")</f>
        <v>#REF!</v>
      </c>
      <c r="FL10" t="e">
        <f>AND(#REF!,"AAAAAHRr/6c=")</f>
        <v>#REF!</v>
      </c>
      <c r="FM10" t="e">
        <f>IF(#REF!,"AAAAAHRr/6g=",0)</f>
        <v>#REF!</v>
      </c>
      <c r="FN10" t="e">
        <f>AND(#REF!,"AAAAAHRr/6k=")</f>
        <v>#REF!</v>
      </c>
      <c r="FO10" t="e">
        <f>AND(#REF!,"AAAAAHRr/6o=")</f>
        <v>#REF!</v>
      </c>
      <c r="FP10" t="e">
        <f>AND(#REF!,"AAAAAHRr/6s=")</f>
        <v>#REF!</v>
      </c>
      <c r="FQ10" t="e">
        <f>AND(#REF!,"AAAAAHRr/6w=")</f>
        <v>#REF!</v>
      </c>
      <c r="FR10" t="e">
        <f>AND(#REF!,"AAAAAHRr/60=")</f>
        <v>#REF!</v>
      </c>
      <c r="FS10" t="e">
        <f>AND(#REF!,"AAAAAHRr/64=")</f>
        <v>#REF!</v>
      </c>
      <c r="FT10" t="e">
        <f>AND(#REF!,"AAAAAHRr/68=")</f>
        <v>#REF!</v>
      </c>
      <c r="FU10" t="e">
        <f>AND(#REF!,"AAAAAHRr/7A=")</f>
        <v>#REF!</v>
      </c>
      <c r="FV10" t="e">
        <f>AND(#REF!,"AAAAAHRr/7E=")</f>
        <v>#REF!</v>
      </c>
      <c r="FW10" t="e">
        <f>AND(#REF!,"AAAAAHRr/7I=")</f>
        <v>#REF!</v>
      </c>
      <c r="FX10" t="e">
        <f>AND(#REF!,"AAAAAHRr/7M=")</f>
        <v>#REF!</v>
      </c>
      <c r="FY10" t="e">
        <f>AND(#REF!,"AAAAAHRr/7Q=")</f>
        <v>#REF!</v>
      </c>
      <c r="FZ10" t="e">
        <f>AND(#REF!,"AAAAAHRr/7U=")</f>
        <v>#REF!</v>
      </c>
      <c r="GA10" t="e">
        <f>AND(#REF!,"AAAAAHRr/7Y=")</f>
        <v>#REF!</v>
      </c>
      <c r="GB10" t="e">
        <f>AND(#REF!,"AAAAAHRr/7c=")</f>
        <v>#REF!</v>
      </c>
      <c r="GC10" t="e">
        <f>AND(#REF!,"AAAAAHRr/7g=")</f>
        <v>#REF!</v>
      </c>
      <c r="GD10" t="e">
        <f>AND(#REF!,"AAAAAHRr/7k=")</f>
        <v>#REF!</v>
      </c>
      <c r="GE10" t="e">
        <f>AND(#REF!,"AAAAAHRr/7o=")</f>
        <v>#REF!</v>
      </c>
      <c r="GF10" t="e">
        <f>AND(#REF!,"AAAAAHRr/7s=")</f>
        <v>#REF!</v>
      </c>
      <c r="GG10" t="e">
        <f>AND(#REF!,"AAAAAHRr/7w=")</f>
        <v>#REF!</v>
      </c>
      <c r="GH10" t="e">
        <f>AND(#REF!,"AAAAAHRr/70=")</f>
        <v>#REF!</v>
      </c>
      <c r="GI10" t="e">
        <f>AND(#REF!,"AAAAAHRr/74=")</f>
        <v>#REF!</v>
      </c>
      <c r="GJ10" t="e">
        <f>AND(#REF!,"AAAAAHRr/78=")</f>
        <v>#REF!</v>
      </c>
      <c r="GK10" t="e">
        <f>IF(#REF!,"AAAAAHRr/8A=",0)</f>
        <v>#REF!</v>
      </c>
      <c r="GL10" t="e">
        <f>AND(#REF!,"AAAAAHRr/8E=")</f>
        <v>#REF!</v>
      </c>
      <c r="GM10" t="e">
        <f>AND(#REF!,"AAAAAHRr/8I=")</f>
        <v>#REF!</v>
      </c>
      <c r="GN10" t="e">
        <f>AND(#REF!,"AAAAAHRr/8M=")</f>
        <v>#REF!</v>
      </c>
      <c r="GO10" t="e">
        <f>AND(#REF!,"AAAAAHRr/8Q=")</f>
        <v>#REF!</v>
      </c>
      <c r="GP10" t="e">
        <f>AND(#REF!,"AAAAAHRr/8U=")</f>
        <v>#REF!</v>
      </c>
      <c r="GQ10" t="e">
        <f>AND(#REF!,"AAAAAHRr/8Y=")</f>
        <v>#REF!</v>
      </c>
      <c r="GR10" t="e">
        <f>AND(#REF!,"AAAAAHRr/8c=")</f>
        <v>#REF!</v>
      </c>
      <c r="GS10" t="e">
        <f>AND(#REF!,"AAAAAHRr/8g=")</f>
        <v>#REF!</v>
      </c>
      <c r="GT10" t="e">
        <f>AND(#REF!,"AAAAAHRr/8k=")</f>
        <v>#REF!</v>
      </c>
      <c r="GU10" t="e">
        <f>AND(#REF!,"AAAAAHRr/8o=")</f>
        <v>#REF!</v>
      </c>
      <c r="GV10" t="e">
        <f>AND(#REF!,"AAAAAHRr/8s=")</f>
        <v>#REF!</v>
      </c>
      <c r="GW10" t="e">
        <f>AND(#REF!,"AAAAAHRr/8w=")</f>
        <v>#REF!</v>
      </c>
      <c r="GX10" t="e">
        <f>AND(#REF!,"AAAAAHRr/80=")</f>
        <v>#REF!</v>
      </c>
      <c r="GY10" t="e">
        <f>AND(#REF!,"AAAAAHRr/84=")</f>
        <v>#REF!</v>
      </c>
      <c r="GZ10" t="e">
        <f>AND(#REF!,"AAAAAHRr/88=")</f>
        <v>#REF!</v>
      </c>
      <c r="HA10" t="e">
        <f>AND(#REF!,"AAAAAHRr/9A=")</f>
        <v>#REF!</v>
      </c>
      <c r="HB10" t="e">
        <f>AND(#REF!,"AAAAAHRr/9E=")</f>
        <v>#REF!</v>
      </c>
      <c r="HC10" t="e">
        <f>AND(#REF!,"AAAAAHRr/9I=")</f>
        <v>#REF!</v>
      </c>
      <c r="HD10" t="e">
        <f>AND(#REF!,"AAAAAHRr/9M=")</f>
        <v>#REF!</v>
      </c>
      <c r="HE10" t="e">
        <f>AND(#REF!,"AAAAAHRr/9Q=")</f>
        <v>#REF!</v>
      </c>
      <c r="HF10" t="e">
        <f>AND(#REF!,"AAAAAHRr/9U=")</f>
        <v>#REF!</v>
      </c>
      <c r="HG10" t="e">
        <f>AND(#REF!,"AAAAAHRr/9Y=")</f>
        <v>#REF!</v>
      </c>
      <c r="HH10" t="e">
        <f>AND(#REF!,"AAAAAHRr/9c=")</f>
        <v>#REF!</v>
      </c>
      <c r="HI10" t="e">
        <f>IF(#REF!,"AAAAAHRr/9g=",0)</f>
        <v>#REF!</v>
      </c>
      <c r="HJ10" t="e">
        <f>AND(#REF!,"AAAAAHRr/9k=")</f>
        <v>#REF!</v>
      </c>
      <c r="HK10" t="e">
        <f>AND(#REF!,"AAAAAHRr/9o=")</f>
        <v>#REF!</v>
      </c>
      <c r="HL10" t="e">
        <f>AND(#REF!,"AAAAAHRr/9s=")</f>
        <v>#REF!</v>
      </c>
      <c r="HM10" t="e">
        <f>AND(#REF!,"AAAAAHRr/9w=")</f>
        <v>#REF!</v>
      </c>
      <c r="HN10" t="e">
        <f>AND(#REF!,"AAAAAHRr/90=")</f>
        <v>#REF!</v>
      </c>
      <c r="HO10" t="e">
        <f>AND(#REF!,"AAAAAHRr/94=")</f>
        <v>#REF!</v>
      </c>
      <c r="HP10" t="e">
        <f>AND(#REF!,"AAAAAHRr/98=")</f>
        <v>#REF!</v>
      </c>
      <c r="HQ10" t="e">
        <f>AND(#REF!,"AAAAAHRr/+A=")</f>
        <v>#REF!</v>
      </c>
      <c r="HR10" t="e">
        <f>AND(#REF!,"AAAAAHRr/+E=")</f>
        <v>#REF!</v>
      </c>
      <c r="HS10" t="e">
        <f>AND(#REF!,"AAAAAHRr/+I=")</f>
        <v>#REF!</v>
      </c>
      <c r="HT10" t="e">
        <f>AND(#REF!,"AAAAAHRr/+M=")</f>
        <v>#REF!</v>
      </c>
      <c r="HU10" t="e">
        <f>AND(#REF!,"AAAAAHRr/+Q=")</f>
        <v>#REF!</v>
      </c>
      <c r="HV10" t="e">
        <f>AND(#REF!,"AAAAAHRr/+U=")</f>
        <v>#REF!</v>
      </c>
      <c r="HW10" t="e">
        <f>AND(#REF!,"AAAAAHRr/+Y=")</f>
        <v>#REF!</v>
      </c>
      <c r="HX10" t="e">
        <f>AND(#REF!,"AAAAAHRr/+c=")</f>
        <v>#REF!</v>
      </c>
      <c r="HY10" t="e">
        <f>AND(#REF!,"AAAAAHRr/+g=")</f>
        <v>#REF!</v>
      </c>
      <c r="HZ10" t="e">
        <f>AND(#REF!,"AAAAAHRr/+k=")</f>
        <v>#REF!</v>
      </c>
      <c r="IA10" t="e">
        <f>AND(#REF!,"AAAAAHRr/+o=")</f>
        <v>#REF!</v>
      </c>
      <c r="IB10" t="e">
        <f>AND(#REF!,"AAAAAHRr/+s=")</f>
        <v>#REF!</v>
      </c>
      <c r="IC10" t="e">
        <f>AND(#REF!,"AAAAAHRr/+w=")</f>
        <v>#REF!</v>
      </c>
      <c r="ID10" t="e">
        <f>AND(#REF!,"AAAAAHRr/+0=")</f>
        <v>#REF!</v>
      </c>
      <c r="IE10" t="e">
        <f>AND(#REF!,"AAAAAHRr/+4=")</f>
        <v>#REF!</v>
      </c>
      <c r="IF10" t="e">
        <f>AND(#REF!,"AAAAAHRr/+8=")</f>
        <v>#REF!</v>
      </c>
      <c r="IG10" t="e">
        <f>IF(#REF!,"AAAAAHRr//A=",0)</f>
        <v>#REF!</v>
      </c>
      <c r="IH10" t="e">
        <f>AND(#REF!,"AAAAAHRr//E=")</f>
        <v>#REF!</v>
      </c>
      <c r="II10" t="e">
        <f>AND(#REF!,"AAAAAHRr//I=")</f>
        <v>#REF!</v>
      </c>
      <c r="IJ10" t="e">
        <f>AND(#REF!,"AAAAAHRr//M=")</f>
        <v>#REF!</v>
      </c>
      <c r="IK10" t="e">
        <f>AND(#REF!,"AAAAAHRr//Q=")</f>
        <v>#REF!</v>
      </c>
      <c r="IL10" t="e">
        <f>AND(#REF!,"AAAAAHRr//U=")</f>
        <v>#REF!</v>
      </c>
      <c r="IM10" t="e">
        <f>AND(#REF!,"AAAAAHRr//Y=")</f>
        <v>#REF!</v>
      </c>
      <c r="IN10" t="e">
        <f>AND(#REF!,"AAAAAHRr//c=")</f>
        <v>#REF!</v>
      </c>
      <c r="IO10" t="e">
        <f>AND(#REF!,"AAAAAHRr//g=")</f>
        <v>#REF!</v>
      </c>
      <c r="IP10" t="e">
        <f>AND(#REF!,"AAAAAHRr//k=")</f>
        <v>#REF!</v>
      </c>
      <c r="IQ10" t="e">
        <f>AND(#REF!,"AAAAAHRr//o=")</f>
        <v>#REF!</v>
      </c>
      <c r="IR10" t="e">
        <f>AND(#REF!,"AAAAAHRr//s=")</f>
        <v>#REF!</v>
      </c>
      <c r="IS10" t="e">
        <f>AND(#REF!,"AAAAAHRr//w=")</f>
        <v>#REF!</v>
      </c>
      <c r="IT10" t="e">
        <f>AND(#REF!,"AAAAAHRr//0=")</f>
        <v>#REF!</v>
      </c>
      <c r="IU10" t="e">
        <f>AND(#REF!,"AAAAAHRr//4=")</f>
        <v>#REF!</v>
      </c>
      <c r="IV10" t="e">
        <f>AND(#REF!,"AAAAAHRr//8=")</f>
        <v>#REF!</v>
      </c>
    </row>
    <row r="11" spans="1:256" x14ac:dyDescent="0.25">
      <c r="A11" t="e">
        <f>AND(#REF!,"AAAAAD7n9gA=")</f>
        <v>#REF!</v>
      </c>
      <c r="B11" t="e">
        <f>AND(#REF!,"AAAAAD7n9gE=")</f>
        <v>#REF!</v>
      </c>
      <c r="C11" t="e">
        <f>AND(#REF!,"AAAAAD7n9gI=")</f>
        <v>#REF!</v>
      </c>
      <c r="D11" t="e">
        <f>AND(#REF!,"AAAAAD7n9gM=")</f>
        <v>#REF!</v>
      </c>
      <c r="E11" t="e">
        <f>AND(#REF!,"AAAAAD7n9gQ=")</f>
        <v>#REF!</v>
      </c>
      <c r="F11" t="e">
        <f>AND(#REF!,"AAAAAD7n9gU=")</f>
        <v>#REF!</v>
      </c>
      <c r="G11" t="e">
        <f>AND(#REF!,"AAAAAD7n9gY=")</f>
        <v>#REF!</v>
      </c>
      <c r="H11" t="e">
        <f>AND(#REF!,"AAAAAD7n9gc=")</f>
        <v>#REF!</v>
      </c>
      <c r="I11" t="e">
        <f>IF(#REF!,"AAAAAD7n9gg=",0)</f>
        <v>#REF!</v>
      </c>
      <c r="J11" t="e">
        <f>AND(#REF!,"AAAAAD7n9gk=")</f>
        <v>#REF!</v>
      </c>
      <c r="K11" t="e">
        <f>AND(#REF!,"AAAAAD7n9go=")</f>
        <v>#REF!</v>
      </c>
      <c r="L11" t="e">
        <f>AND(#REF!,"AAAAAD7n9gs=")</f>
        <v>#REF!</v>
      </c>
      <c r="M11" t="e">
        <f>AND(#REF!,"AAAAAD7n9gw=")</f>
        <v>#REF!</v>
      </c>
      <c r="N11" t="e">
        <f>AND(#REF!,"AAAAAD7n9g0=")</f>
        <v>#REF!</v>
      </c>
      <c r="O11" t="e">
        <f>AND(#REF!,"AAAAAD7n9g4=")</f>
        <v>#REF!</v>
      </c>
      <c r="P11" t="e">
        <f>AND(#REF!,"AAAAAD7n9g8=")</f>
        <v>#REF!</v>
      </c>
      <c r="Q11" t="e">
        <f>AND(#REF!,"AAAAAD7n9hA=")</f>
        <v>#REF!</v>
      </c>
      <c r="R11" t="e">
        <f>AND(#REF!,"AAAAAD7n9hE=")</f>
        <v>#REF!</v>
      </c>
      <c r="S11" t="e">
        <f>AND(#REF!,"AAAAAD7n9hI=")</f>
        <v>#REF!</v>
      </c>
      <c r="T11" t="e">
        <f>AND(#REF!,"AAAAAD7n9hM=")</f>
        <v>#REF!</v>
      </c>
      <c r="U11" t="e">
        <f>AND(#REF!,"AAAAAD7n9hQ=")</f>
        <v>#REF!</v>
      </c>
      <c r="V11" t="e">
        <f>AND(#REF!,"AAAAAD7n9hU=")</f>
        <v>#REF!</v>
      </c>
      <c r="W11" t="e">
        <f>AND(#REF!,"AAAAAD7n9hY=")</f>
        <v>#REF!</v>
      </c>
      <c r="X11" t="e">
        <f>AND(#REF!,"AAAAAD7n9hc=")</f>
        <v>#REF!</v>
      </c>
      <c r="Y11" t="e">
        <f>AND(#REF!,"AAAAAD7n9hg=")</f>
        <v>#REF!</v>
      </c>
      <c r="Z11" t="e">
        <f>AND(#REF!,"AAAAAD7n9hk=")</f>
        <v>#REF!</v>
      </c>
      <c r="AA11" t="e">
        <f>AND(#REF!,"AAAAAD7n9ho=")</f>
        <v>#REF!</v>
      </c>
      <c r="AB11" t="e">
        <f>AND(#REF!,"AAAAAD7n9hs=")</f>
        <v>#REF!</v>
      </c>
      <c r="AC11" t="e">
        <f>AND(#REF!,"AAAAAD7n9hw=")</f>
        <v>#REF!</v>
      </c>
      <c r="AD11" t="e">
        <f>AND(#REF!,"AAAAAD7n9h0=")</f>
        <v>#REF!</v>
      </c>
      <c r="AE11" t="e">
        <f>AND(#REF!,"AAAAAD7n9h4=")</f>
        <v>#REF!</v>
      </c>
      <c r="AF11" t="e">
        <f>AND(#REF!,"AAAAAD7n9h8=")</f>
        <v>#REF!</v>
      </c>
      <c r="AG11" t="e">
        <f>IF(#REF!,"AAAAAD7n9iA=",0)</f>
        <v>#REF!</v>
      </c>
      <c r="AH11" t="e">
        <f>AND(#REF!,"AAAAAD7n9iE=")</f>
        <v>#REF!</v>
      </c>
      <c r="AI11" t="e">
        <f>AND(#REF!,"AAAAAD7n9iI=")</f>
        <v>#REF!</v>
      </c>
      <c r="AJ11" t="e">
        <f>AND(#REF!,"AAAAAD7n9iM=")</f>
        <v>#REF!</v>
      </c>
      <c r="AK11" t="e">
        <f>AND(#REF!,"AAAAAD7n9iQ=")</f>
        <v>#REF!</v>
      </c>
      <c r="AL11" t="e">
        <f>AND(#REF!,"AAAAAD7n9iU=")</f>
        <v>#REF!</v>
      </c>
      <c r="AM11" t="e">
        <f>AND(#REF!,"AAAAAD7n9iY=")</f>
        <v>#REF!</v>
      </c>
      <c r="AN11" t="e">
        <f>AND(#REF!,"AAAAAD7n9ic=")</f>
        <v>#REF!</v>
      </c>
      <c r="AO11" t="e">
        <f>AND(#REF!,"AAAAAD7n9ig=")</f>
        <v>#REF!</v>
      </c>
      <c r="AP11" t="e">
        <f>AND(#REF!,"AAAAAD7n9ik=")</f>
        <v>#REF!</v>
      </c>
      <c r="AQ11" t="e">
        <f>AND(#REF!,"AAAAAD7n9io=")</f>
        <v>#REF!</v>
      </c>
      <c r="AR11" t="e">
        <f>AND(#REF!,"AAAAAD7n9is=")</f>
        <v>#REF!</v>
      </c>
      <c r="AS11" t="e">
        <f>AND(#REF!,"AAAAAD7n9iw=")</f>
        <v>#REF!</v>
      </c>
      <c r="AT11" t="e">
        <f>AND(#REF!,"AAAAAD7n9i0=")</f>
        <v>#REF!</v>
      </c>
      <c r="AU11" t="e">
        <f>AND(#REF!,"AAAAAD7n9i4=")</f>
        <v>#REF!</v>
      </c>
      <c r="AV11" t="e">
        <f>AND(#REF!,"AAAAAD7n9i8=")</f>
        <v>#REF!</v>
      </c>
      <c r="AW11" t="e">
        <f>AND(#REF!,"AAAAAD7n9jA=")</f>
        <v>#REF!</v>
      </c>
      <c r="AX11" t="e">
        <f>AND(#REF!,"AAAAAD7n9jE=")</f>
        <v>#REF!</v>
      </c>
      <c r="AY11" t="e">
        <f>AND(#REF!,"AAAAAD7n9jI=")</f>
        <v>#REF!</v>
      </c>
      <c r="AZ11" t="e">
        <f>AND(#REF!,"AAAAAD7n9jM=")</f>
        <v>#REF!</v>
      </c>
      <c r="BA11" t="e">
        <f>AND(#REF!,"AAAAAD7n9jQ=")</f>
        <v>#REF!</v>
      </c>
      <c r="BB11" t="e">
        <f>AND(#REF!,"AAAAAD7n9jU=")</f>
        <v>#REF!</v>
      </c>
      <c r="BC11" t="e">
        <f>AND(#REF!,"AAAAAD7n9jY=")</f>
        <v>#REF!</v>
      </c>
      <c r="BD11" t="e">
        <f>AND(#REF!,"AAAAAD7n9jc=")</f>
        <v>#REF!</v>
      </c>
      <c r="BE11" t="e">
        <f>IF(#REF!,"AAAAAD7n9jg=",0)</f>
        <v>#REF!</v>
      </c>
      <c r="BF11" t="e">
        <f>AND(#REF!,"AAAAAD7n9jk=")</f>
        <v>#REF!</v>
      </c>
      <c r="BG11" t="e">
        <f>AND(#REF!,"AAAAAD7n9jo=")</f>
        <v>#REF!</v>
      </c>
      <c r="BH11" t="e">
        <f>AND(#REF!,"AAAAAD7n9js=")</f>
        <v>#REF!</v>
      </c>
      <c r="BI11" t="e">
        <f>AND(#REF!,"AAAAAD7n9jw=")</f>
        <v>#REF!</v>
      </c>
      <c r="BJ11" t="e">
        <f>AND(#REF!,"AAAAAD7n9j0=")</f>
        <v>#REF!</v>
      </c>
      <c r="BK11" t="e">
        <f>AND(#REF!,"AAAAAD7n9j4=")</f>
        <v>#REF!</v>
      </c>
      <c r="BL11" t="e">
        <f>AND(#REF!,"AAAAAD7n9j8=")</f>
        <v>#REF!</v>
      </c>
      <c r="BM11" t="e">
        <f>AND(#REF!,"AAAAAD7n9kA=")</f>
        <v>#REF!</v>
      </c>
      <c r="BN11" t="e">
        <f>AND(#REF!,"AAAAAD7n9kE=")</f>
        <v>#REF!</v>
      </c>
      <c r="BO11" t="e">
        <f>AND(#REF!,"AAAAAD7n9kI=")</f>
        <v>#REF!</v>
      </c>
      <c r="BP11" t="e">
        <f>AND(#REF!,"AAAAAD7n9kM=")</f>
        <v>#REF!</v>
      </c>
      <c r="BQ11" t="e">
        <f>AND(#REF!,"AAAAAD7n9kQ=")</f>
        <v>#REF!</v>
      </c>
      <c r="BR11" t="e">
        <f>AND(#REF!,"AAAAAD7n9kU=")</f>
        <v>#REF!</v>
      </c>
      <c r="BS11" t="e">
        <f>AND(#REF!,"AAAAAD7n9kY=")</f>
        <v>#REF!</v>
      </c>
      <c r="BT11" t="e">
        <f>AND(#REF!,"AAAAAD7n9kc=")</f>
        <v>#REF!</v>
      </c>
      <c r="BU11" t="e">
        <f>AND(#REF!,"AAAAAD7n9kg=")</f>
        <v>#REF!</v>
      </c>
      <c r="BV11" t="e">
        <f>AND(#REF!,"AAAAAD7n9kk=")</f>
        <v>#REF!</v>
      </c>
      <c r="BW11" t="e">
        <f>AND(#REF!,"AAAAAD7n9ko=")</f>
        <v>#REF!</v>
      </c>
      <c r="BX11" t="e">
        <f>AND(#REF!,"AAAAAD7n9ks=")</f>
        <v>#REF!</v>
      </c>
      <c r="BY11" t="e">
        <f>AND(#REF!,"AAAAAD7n9kw=")</f>
        <v>#REF!</v>
      </c>
      <c r="BZ11" t="e">
        <f>AND(#REF!,"AAAAAD7n9k0=")</f>
        <v>#REF!</v>
      </c>
      <c r="CA11" t="e">
        <f>AND(#REF!,"AAAAAD7n9k4=")</f>
        <v>#REF!</v>
      </c>
      <c r="CB11" t="e">
        <f>AND(#REF!,"AAAAAD7n9k8=")</f>
        <v>#REF!</v>
      </c>
      <c r="CC11" t="e">
        <f>IF(#REF!,"AAAAAD7n9lA=",0)</f>
        <v>#REF!</v>
      </c>
      <c r="CD11" t="e">
        <f>AND(#REF!,"AAAAAD7n9lE=")</f>
        <v>#REF!</v>
      </c>
      <c r="CE11" t="e">
        <f>AND(#REF!,"AAAAAD7n9lI=")</f>
        <v>#REF!</v>
      </c>
      <c r="CF11" t="e">
        <f>AND(#REF!,"AAAAAD7n9lM=")</f>
        <v>#REF!</v>
      </c>
      <c r="CG11" t="e">
        <f>AND(#REF!,"AAAAAD7n9lQ=")</f>
        <v>#REF!</v>
      </c>
      <c r="CH11" t="e">
        <f>AND(#REF!,"AAAAAD7n9lU=")</f>
        <v>#REF!</v>
      </c>
      <c r="CI11" t="e">
        <f>AND(#REF!,"AAAAAD7n9lY=")</f>
        <v>#REF!</v>
      </c>
      <c r="CJ11" t="e">
        <f>AND(#REF!,"AAAAAD7n9lc=")</f>
        <v>#REF!</v>
      </c>
      <c r="CK11" t="e">
        <f>AND(#REF!,"AAAAAD7n9lg=")</f>
        <v>#REF!</v>
      </c>
      <c r="CL11" t="e">
        <f>AND(#REF!,"AAAAAD7n9lk=")</f>
        <v>#REF!</v>
      </c>
      <c r="CM11" t="e">
        <f>AND(#REF!,"AAAAAD7n9lo=")</f>
        <v>#REF!</v>
      </c>
      <c r="CN11" t="e">
        <f>AND(#REF!,"AAAAAD7n9ls=")</f>
        <v>#REF!</v>
      </c>
      <c r="CO11" t="e">
        <f>AND(#REF!,"AAAAAD7n9lw=")</f>
        <v>#REF!</v>
      </c>
      <c r="CP11" t="e">
        <f>AND(#REF!,"AAAAAD7n9l0=")</f>
        <v>#REF!</v>
      </c>
      <c r="CQ11" t="e">
        <f>AND(#REF!,"AAAAAD7n9l4=")</f>
        <v>#REF!</v>
      </c>
      <c r="CR11" t="e">
        <f>AND(#REF!,"AAAAAD7n9l8=")</f>
        <v>#REF!</v>
      </c>
      <c r="CS11" t="e">
        <f>AND(#REF!,"AAAAAD7n9mA=")</f>
        <v>#REF!</v>
      </c>
      <c r="CT11" t="e">
        <f>AND(#REF!,"AAAAAD7n9mE=")</f>
        <v>#REF!</v>
      </c>
      <c r="CU11" t="e">
        <f>AND(#REF!,"AAAAAD7n9mI=")</f>
        <v>#REF!</v>
      </c>
      <c r="CV11" t="e">
        <f>AND(#REF!,"AAAAAD7n9mM=")</f>
        <v>#REF!</v>
      </c>
      <c r="CW11" t="e">
        <f>AND(#REF!,"AAAAAD7n9mQ=")</f>
        <v>#REF!</v>
      </c>
      <c r="CX11" t="e">
        <f>AND(#REF!,"AAAAAD7n9mU=")</f>
        <v>#REF!</v>
      </c>
      <c r="CY11" t="e">
        <f>AND(#REF!,"AAAAAD7n9mY=")</f>
        <v>#REF!</v>
      </c>
      <c r="CZ11" t="e">
        <f>AND(#REF!,"AAAAAD7n9mc=")</f>
        <v>#REF!</v>
      </c>
      <c r="DA11" t="e">
        <f>IF(#REF!,"AAAAAD7n9mg=",0)</f>
        <v>#REF!</v>
      </c>
      <c r="DB11" t="e">
        <f>AND(#REF!,"AAAAAD7n9mk=")</f>
        <v>#REF!</v>
      </c>
      <c r="DC11" t="e">
        <f>AND(#REF!,"AAAAAD7n9mo=")</f>
        <v>#REF!</v>
      </c>
      <c r="DD11" t="e">
        <f>AND(#REF!,"AAAAAD7n9ms=")</f>
        <v>#REF!</v>
      </c>
      <c r="DE11" t="e">
        <f>AND(#REF!,"AAAAAD7n9mw=")</f>
        <v>#REF!</v>
      </c>
      <c r="DF11" t="e">
        <f>AND(#REF!,"AAAAAD7n9m0=")</f>
        <v>#REF!</v>
      </c>
      <c r="DG11" t="e">
        <f>AND(#REF!,"AAAAAD7n9m4=")</f>
        <v>#REF!</v>
      </c>
      <c r="DH11" t="e">
        <f>AND(#REF!,"AAAAAD7n9m8=")</f>
        <v>#REF!</v>
      </c>
      <c r="DI11" t="e">
        <f>AND(#REF!,"AAAAAD7n9nA=")</f>
        <v>#REF!</v>
      </c>
      <c r="DJ11" t="e">
        <f>AND(#REF!,"AAAAAD7n9nE=")</f>
        <v>#REF!</v>
      </c>
      <c r="DK11" t="e">
        <f>AND(#REF!,"AAAAAD7n9nI=")</f>
        <v>#REF!</v>
      </c>
      <c r="DL11" t="e">
        <f>AND(#REF!,"AAAAAD7n9nM=")</f>
        <v>#REF!</v>
      </c>
      <c r="DM11" t="e">
        <f>AND(#REF!,"AAAAAD7n9nQ=")</f>
        <v>#REF!</v>
      </c>
      <c r="DN11" t="e">
        <f>AND(#REF!,"AAAAAD7n9nU=")</f>
        <v>#REF!</v>
      </c>
      <c r="DO11" t="e">
        <f>AND(#REF!,"AAAAAD7n9nY=")</f>
        <v>#REF!</v>
      </c>
      <c r="DP11" t="e">
        <f>AND(#REF!,"AAAAAD7n9nc=")</f>
        <v>#REF!</v>
      </c>
      <c r="DQ11" t="e">
        <f>AND(#REF!,"AAAAAD7n9ng=")</f>
        <v>#REF!</v>
      </c>
      <c r="DR11" t="e">
        <f>AND(#REF!,"AAAAAD7n9nk=")</f>
        <v>#REF!</v>
      </c>
      <c r="DS11" t="e">
        <f>AND(#REF!,"AAAAAD7n9no=")</f>
        <v>#REF!</v>
      </c>
      <c r="DT11" t="e">
        <f>AND(#REF!,"AAAAAD7n9ns=")</f>
        <v>#REF!</v>
      </c>
      <c r="DU11" t="e">
        <f>AND(#REF!,"AAAAAD7n9nw=")</f>
        <v>#REF!</v>
      </c>
      <c r="DV11" t="e">
        <f>AND(#REF!,"AAAAAD7n9n0=")</f>
        <v>#REF!</v>
      </c>
      <c r="DW11" t="e">
        <f>AND(#REF!,"AAAAAD7n9n4=")</f>
        <v>#REF!</v>
      </c>
      <c r="DX11" t="e">
        <f>AND(#REF!,"AAAAAD7n9n8=")</f>
        <v>#REF!</v>
      </c>
      <c r="DY11" t="e">
        <f>IF(#REF!,"AAAAAD7n9oA=",0)</f>
        <v>#REF!</v>
      </c>
      <c r="DZ11" t="e">
        <f>AND(#REF!,"AAAAAD7n9oE=")</f>
        <v>#REF!</v>
      </c>
      <c r="EA11" t="e">
        <f>AND(#REF!,"AAAAAD7n9oI=")</f>
        <v>#REF!</v>
      </c>
      <c r="EB11" t="e">
        <f>AND(#REF!,"AAAAAD7n9oM=")</f>
        <v>#REF!</v>
      </c>
      <c r="EC11" t="e">
        <f>AND(#REF!,"AAAAAD7n9oQ=")</f>
        <v>#REF!</v>
      </c>
      <c r="ED11" t="e">
        <f>AND(#REF!,"AAAAAD7n9oU=")</f>
        <v>#REF!</v>
      </c>
      <c r="EE11" t="e">
        <f>AND(#REF!,"AAAAAD7n9oY=")</f>
        <v>#REF!</v>
      </c>
      <c r="EF11" t="e">
        <f>AND(#REF!,"AAAAAD7n9oc=")</f>
        <v>#REF!</v>
      </c>
      <c r="EG11" t="e">
        <f>AND(#REF!,"AAAAAD7n9og=")</f>
        <v>#REF!</v>
      </c>
      <c r="EH11" t="e">
        <f>AND(#REF!,"AAAAAD7n9ok=")</f>
        <v>#REF!</v>
      </c>
      <c r="EI11" t="e">
        <f>AND(#REF!,"AAAAAD7n9oo=")</f>
        <v>#REF!</v>
      </c>
      <c r="EJ11" t="e">
        <f>AND(#REF!,"AAAAAD7n9os=")</f>
        <v>#REF!</v>
      </c>
      <c r="EK11" t="e">
        <f>AND(#REF!,"AAAAAD7n9ow=")</f>
        <v>#REF!</v>
      </c>
      <c r="EL11" t="e">
        <f>AND(#REF!,"AAAAAD7n9o0=")</f>
        <v>#REF!</v>
      </c>
      <c r="EM11" t="e">
        <f>AND(#REF!,"AAAAAD7n9o4=")</f>
        <v>#REF!</v>
      </c>
      <c r="EN11" t="e">
        <f>AND(#REF!,"AAAAAD7n9o8=")</f>
        <v>#REF!</v>
      </c>
      <c r="EO11" t="e">
        <f>AND(#REF!,"AAAAAD7n9pA=")</f>
        <v>#REF!</v>
      </c>
      <c r="EP11" t="e">
        <f>AND(#REF!,"AAAAAD7n9pE=")</f>
        <v>#REF!</v>
      </c>
      <c r="EQ11" t="e">
        <f>AND(#REF!,"AAAAAD7n9pI=")</f>
        <v>#REF!</v>
      </c>
      <c r="ER11" t="e">
        <f>AND(#REF!,"AAAAAD7n9pM=")</f>
        <v>#REF!</v>
      </c>
      <c r="ES11" t="e">
        <f>AND(#REF!,"AAAAAD7n9pQ=")</f>
        <v>#REF!</v>
      </c>
      <c r="ET11" t="e">
        <f>AND(#REF!,"AAAAAD7n9pU=")</f>
        <v>#REF!</v>
      </c>
      <c r="EU11" t="e">
        <f>AND(#REF!,"AAAAAD7n9pY=")</f>
        <v>#REF!</v>
      </c>
      <c r="EV11" t="e">
        <f>AND(#REF!,"AAAAAD7n9pc=")</f>
        <v>#REF!</v>
      </c>
      <c r="EW11" t="e">
        <f>IF(#REF!,"AAAAAD7n9pg=",0)</f>
        <v>#REF!</v>
      </c>
      <c r="EX11" t="e">
        <f>AND(#REF!,"AAAAAD7n9pk=")</f>
        <v>#REF!</v>
      </c>
      <c r="EY11" t="e">
        <f>AND(#REF!,"AAAAAD7n9po=")</f>
        <v>#REF!</v>
      </c>
      <c r="EZ11" t="e">
        <f>AND(#REF!,"AAAAAD7n9ps=")</f>
        <v>#REF!</v>
      </c>
      <c r="FA11" t="e">
        <f>AND(#REF!,"AAAAAD7n9pw=")</f>
        <v>#REF!</v>
      </c>
      <c r="FB11" t="e">
        <f>AND(#REF!,"AAAAAD7n9p0=")</f>
        <v>#REF!</v>
      </c>
      <c r="FC11" t="e">
        <f>AND(#REF!,"AAAAAD7n9p4=")</f>
        <v>#REF!</v>
      </c>
      <c r="FD11" t="e">
        <f>AND(#REF!,"AAAAAD7n9p8=")</f>
        <v>#REF!</v>
      </c>
      <c r="FE11" t="e">
        <f>AND(#REF!,"AAAAAD7n9qA=")</f>
        <v>#REF!</v>
      </c>
      <c r="FF11" t="e">
        <f>AND(#REF!,"AAAAAD7n9qE=")</f>
        <v>#REF!</v>
      </c>
      <c r="FG11" t="e">
        <f>AND(#REF!,"AAAAAD7n9qI=")</f>
        <v>#REF!</v>
      </c>
      <c r="FH11" t="e">
        <f>AND(#REF!,"AAAAAD7n9qM=")</f>
        <v>#REF!</v>
      </c>
      <c r="FI11" t="e">
        <f>AND(#REF!,"AAAAAD7n9qQ=")</f>
        <v>#REF!</v>
      </c>
      <c r="FJ11" t="e">
        <f>AND(#REF!,"AAAAAD7n9qU=")</f>
        <v>#REF!</v>
      </c>
      <c r="FK11" t="e">
        <f>AND(#REF!,"AAAAAD7n9qY=")</f>
        <v>#REF!</v>
      </c>
      <c r="FL11" t="e">
        <f>AND(#REF!,"AAAAAD7n9qc=")</f>
        <v>#REF!</v>
      </c>
      <c r="FM11" t="e">
        <f>AND(#REF!,"AAAAAD7n9qg=")</f>
        <v>#REF!</v>
      </c>
      <c r="FN11" t="e">
        <f>AND(#REF!,"AAAAAD7n9qk=")</f>
        <v>#REF!</v>
      </c>
      <c r="FO11" t="e">
        <f>AND(#REF!,"AAAAAD7n9qo=")</f>
        <v>#REF!</v>
      </c>
      <c r="FP11" t="e">
        <f>AND(#REF!,"AAAAAD7n9qs=")</f>
        <v>#REF!</v>
      </c>
      <c r="FQ11" t="e">
        <f>AND(#REF!,"AAAAAD7n9qw=")</f>
        <v>#REF!</v>
      </c>
      <c r="FR11" t="e">
        <f>AND(#REF!,"AAAAAD7n9q0=")</f>
        <v>#REF!</v>
      </c>
      <c r="FS11" t="e">
        <f>AND(#REF!,"AAAAAD7n9q4=")</f>
        <v>#REF!</v>
      </c>
      <c r="FT11" t="e">
        <f>AND(#REF!,"AAAAAD7n9q8=")</f>
        <v>#REF!</v>
      </c>
      <c r="FU11" t="e">
        <f>IF(#REF!,"AAAAAD7n9rA=",0)</f>
        <v>#REF!</v>
      </c>
      <c r="FV11" t="e">
        <f>AND(#REF!,"AAAAAD7n9rE=")</f>
        <v>#REF!</v>
      </c>
      <c r="FW11" t="e">
        <f>AND(#REF!,"AAAAAD7n9rI=")</f>
        <v>#REF!</v>
      </c>
      <c r="FX11" t="e">
        <f>AND(#REF!,"AAAAAD7n9rM=")</f>
        <v>#REF!</v>
      </c>
      <c r="FY11" t="e">
        <f>AND(#REF!,"AAAAAD7n9rQ=")</f>
        <v>#REF!</v>
      </c>
      <c r="FZ11" t="e">
        <f>AND(#REF!,"AAAAAD7n9rU=")</f>
        <v>#REF!</v>
      </c>
      <c r="GA11" t="e">
        <f>AND(#REF!,"AAAAAD7n9rY=")</f>
        <v>#REF!</v>
      </c>
      <c r="GB11" t="e">
        <f>AND(#REF!,"AAAAAD7n9rc=")</f>
        <v>#REF!</v>
      </c>
      <c r="GC11" t="e">
        <f>AND(#REF!,"AAAAAD7n9rg=")</f>
        <v>#REF!</v>
      </c>
      <c r="GD11" t="e">
        <f>AND(#REF!,"AAAAAD7n9rk=")</f>
        <v>#REF!</v>
      </c>
      <c r="GE11" t="e">
        <f>AND(#REF!,"AAAAAD7n9ro=")</f>
        <v>#REF!</v>
      </c>
      <c r="GF11" t="e">
        <f>AND(#REF!,"AAAAAD7n9rs=")</f>
        <v>#REF!</v>
      </c>
      <c r="GG11" t="e">
        <f>AND(#REF!,"AAAAAD7n9rw=")</f>
        <v>#REF!</v>
      </c>
      <c r="GH11" t="e">
        <f>AND(#REF!,"AAAAAD7n9r0=")</f>
        <v>#REF!</v>
      </c>
      <c r="GI11" t="e">
        <f>AND(#REF!,"AAAAAD7n9r4=")</f>
        <v>#REF!</v>
      </c>
      <c r="GJ11" t="e">
        <f>AND(#REF!,"AAAAAD7n9r8=")</f>
        <v>#REF!</v>
      </c>
      <c r="GK11" t="e">
        <f>AND(#REF!,"AAAAAD7n9sA=")</f>
        <v>#REF!</v>
      </c>
      <c r="GL11" t="e">
        <f>AND(#REF!,"AAAAAD7n9sE=")</f>
        <v>#REF!</v>
      </c>
      <c r="GM11" t="e">
        <f>AND(#REF!,"AAAAAD7n9sI=")</f>
        <v>#REF!</v>
      </c>
      <c r="GN11" t="e">
        <f>AND(#REF!,"AAAAAD7n9sM=")</f>
        <v>#REF!</v>
      </c>
      <c r="GO11" t="e">
        <f>AND(#REF!,"AAAAAD7n9sQ=")</f>
        <v>#REF!</v>
      </c>
      <c r="GP11" t="e">
        <f>AND(#REF!,"AAAAAD7n9sU=")</f>
        <v>#REF!</v>
      </c>
      <c r="GQ11" t="e">
        <f>AND(#REF!,"AAAAAD7n9sY=")</f>
        <v>#REF!</v>
      </c>
      <c r="GR11" t="e">
        <f>AND(#REF!,"AAAAAD7n9sc=")</f>
        <v>#REF!</v>
      </c>
      <c r="GS11" t="e">
        <f>IF(#REF!,"AAAAAD7n9sg=",0)</f>
        <v>#REF!</v>
      </c>
      <c r="GT11" t="e">
        <f>AND(#REF!,"AAAAAD7n9sk=")</f>
        <v>#REF!</v>
      </c>
      <c r="GU11" t="e">
        <f>AND(#REF!,"AAAAAD7n9so=")</f>
        <v>#REF!</v>
      </c>
      <c r="GV11" t="e">
        <f>AND(#REF!,"AAAAAD7n9ss=")</f>
        <v>#REF!</v>
      </c>
      <c r="GW11" t="e">
        <f>AND(#REF!,"AAAAAD7n9sw=")</f>
        <v>#REF!</v>
      </c>
      <c r="GX11" t="e">
        <f>AND(#REF!,"AAAAAD7n9s0=")</f>
        <v>#REF!</v>
      </c>
      <c r="GY11" t="e">
        <f>AND(#REF!,"AAAAAD7n9s4=")</f>
        <v>#REF!</v>
      </c>
      <c r="GZ11" t="e">
        <f>AND(#REF!,"AAAAAD7n9s8=")</f>
        <v>#REF!</v>
      </c>
      <c r="HA11" t="e">
        <f>AND(#REF!,"AAAAAD7n9tA=")</f>
        <v>#REF!</v>
      </c>
      <c r="HB11" t="e">
        <f>AND(#REF!,"AAAAAD7n9tE=")</f>
        <v>#REF!</v>
      </c>
      <c r="HC11" t="e">
        <f>AND(#REF!,"AAAAAD7n9tI=")</f>
        <v>#REF!</v>
      </c>
      <c r="HD11" t="e">
        <f>AND(#REF!,"AAAAAD7n9tM=")</f>
        <v>#REF!</v>
      </c>
      <c r="HE11" t="e">
        <f>AND(#REF!,"AAAAAD7n9tQ=")</f>
        <v>#REF!</v>
      </c>
      <c r="HF11" t="e">
        <f>AND(#REF!,"AAAAAD7n9tU=")</f>
        <v>#REF!</v>
      </c>
      <c r="HG11" t="e">
        <f>AND(#REF!,"AAAAAD7n9tY=")</f>
        <v>#REF!</v>
      </c>
      <c r="HH11" t="e">
        <f>AND(#REF!,"AAAAAD7n9tc=")</f>
        <v>#REF!</v>
      </c>
      <c r="HI11" t="e">
        <f>AND(#REF!,"AAAAAD7n9tg=")</f>
        <v>#REF!</v>
      </c>
      <c r="HJ11" t="e">
        <f>AND(#REF!,"AAAAAD7n9tk=")</f>
        <v>#REF!</v>
      </c>
      <c r="HK11" t="e">
        <f>AND(#REF!,"AAAAAD7n9to=")</f>
        <v>#REF!</v>
      </c>
      <c r="HL11" t="e">
        <f>AND(#REF!,"AAAAAD7n9ts=")</f>
        <v>#REF!</v>
      </c>
      <c r="HM11" t="e">
        <f>AND(#REF!,"AAAAAD7n9tw=")</f>
        <v>#REF!</v>
      </c>
      <c r="HN11" t="e">
        <f>AND(#REF!,"AAAAAD7n9t0=")</f>
        <v>#REF!</v>
      </c>
      <c r="HO11" t="e">
        <f>AND(#REF!,"AAAAAD7n9t4=")</f>
        <v>#REF!</v>
      </c>
      <c r="HP11" t="e">
        <f>AND(#REF!,"AAAAAD7n9t8=")</f>
        <v>#REF!</v>
      </c>
      <c r="HQ11" t="e">
        <f>IF(#REF!,"AAAAAD7n9uA=",0)</f>
        <v>#REF!</v>
      </c>
      <c r="HR11" t="e">
        <f>IF(#REF!,"AAAAAD7n9uE=",0)</f>
        <v>#REF!</v>
      </c>
      <c r="HS11" t="e">
        <f>IF(#REF!,"AAAAAD7n9uI=",0)</f>
        <v>#REF!</v>
      </c>
      <c r="HT11" t="e">
        <f>IF(#REF!,"AAAAAD7n9uM=",0)</f>
        <v>#REF!</v>
      </c>
      <c r="HU11" t="e">
        <f>IF(#REF!,"AAAAAD7n9uQ=",0)</f>
        <v>#REF!</v>
      </c>
      <c r="HV11" t="e">
        <f>IF(#REF!,"AAAAAD7n9uU=",0)</f>
        <v>#REF!</v>
      </c>
      <c r="HW11" t="e">
        <f>IF(#REF!,"AAAAAD7n9uY=",0)</f>
        <v>#REF!</v>
      </c>
      <c r="HX11" t="e">
        <f>IF(#REF!,"AAAAAD7n9uc=",0)</f>
        <v>#REF!</v>
      </c>
      <c r="HY11" t="e">
        <f>IF(#REF!,"AAAAAD7n9ug=",0)</f>
        <v>#REF!</v>
      </c>
      <c r="HZ11" t="e">
        <f>IF(#REF!,"AAAAAD7n9uk=",0)</f>
        <v>#REF!</v>
      </c>
      <c r="IA11" t="e">
        <f>IF(#REF!,"AAAAAD7n9uo=",0)</f>
        <v>#REF!</v>
      </c>
      <c r="IB11" t="e">
        <f>IF(#REF!,"AAAAAD7n9us=",0)</f>
        <v>#REF!</v>
      </c>
      <c r="IC11" t="e">
        <f>IF(#REF!,"AAAAAD7n9uw=",0)</f>
        <v>#REF!</v>
      </c>
      <c r="ID11" t="e">
        <f>IF(#REF!,"AAAAAD7n9u0=",0)</f>
        <v>#REF!</v>
      </c>
      <c r="IE11" t="e">
        <f>IF(#REF!,"AAAAAD7n9u4=",0)</f>
        <v>#REF!</v>
      </c>
      <c r="IF11" t="e">
        <f>IF(#REF!,"AAAAAD7n9u8=",0)</f>
        <v>#REF!</v>
      </c>
      <c r="IG11" t="e">
        <f>IF(#REF!,"AAAAAD7n9vA=",0)</f>
        <v>#REF!</v>
      </c>
      <c r="IH11" t="e">
        <f>IF(#REF!,"AAAAAD7n9vE=",0)</f>
        <v>#REF!</v>
      </c>
      <c r="II11" t="e">
        <f>IF(#REF!,"AAAAAD7n9vI=",0)</f>
        <v>#REF!</v>
      </c>
      <c r="IJ11" t="e">
        <f>IF(#REF!,"AAAAAD7n9vM=",0)</f>
        <v>#REF!</v>
      </c>
      <c r="IK11" t="e">
        <f>IF(#REF!,"AAAAAD7n9vQ=",0)</f>
        <v>#REF!</v>
      </c>
      <c r="IL11" t="e">
        <f>IF(#REF!,"AAAAAD7n9vU=",0)</f>
        <v>#REF!</v>
      </c>
      <c r="IM11" t="e">
        <f>IF(#REF!,"AAAAAD7n9vY=",0)</f>
        <v>#REF!</v>
      </c>
      <c r="IN11" t="e">
        <f>IF(#REF!,"AAAAAD7n9vc=",0)</f>
        <v>#REF!</v>
      </c>
      <c r="IO11" t="e">
        <f>AND(#REF!,"AAAAAD7n9vg=")</f>
        <v>#REF!</v>
      </c>
      <c r="IP11" t="e">
        <f>AND(#REF!,"AAAAAD7n9vk=")</f>
        <v>#REF!</v>
      </c>
      <c r="IQ11" t="e">
        <f>AND(#REF!,"AAAAAD7n9vo=")</f>
        <v>#REF!</v>
      </c>
      <c r="IR11" t="e">
        <f>AND(#REF!,"AAAAAD7n9vs=")</f>
        <v>#REF!</v>
      </c>
      <c r="IS11" t="e">
        <f>AND(#REF!,"AAAAAD7n9vw=")</f>
        <v>#REF!</v>
      </c>
      <c r="IT11" t="e">
        <f>AND(#REF!,"AAAAAD7n9v0=")</f>
        <v>#REF!</v>
      </c>
      <c r="IU11" t="e">
        <f>AND(#REF!,"AAAAAD7n9v4=")</f>
        <v>#REF!</v>
      </c>
      <c r="IV11" t="e">
        <f>AND(#REF!,"AAAAAD7n9v8=")</f>
        <v>#REF!</v>
      </c>
    </row>
    <row r="12" spans="1:256" x14ac:dyDescent="0.25">
      <c r="A12" t="e">
        <f>AND(#REF!,"AAAAAH+5nwA=")</f>
        <v>#REF!</v>
      </c>
      <c r="B12" t="e">
        <f>AND(#REF!,"AAAAAH+5nwE=")</f>
        <v>#REF!</v>
      </c>
      <c r="C12" t="e">
        <f>AND(#REF!,"AAAAAH+5nwI=")</f>
        <v>#REF!</v>
      </c>
      <c r="D12" t="e">
        <f>AND(#REF!,"AAAAAH+5nwM=")</f>
        <v>#REF!</v>
      </c>
      <c r="E12" t="e">
        <f>AND(#REF!,"AAAAAH+5nwQ=")</f>
        <v>#REF!</v>
      </c>
      <c r="F12" t="e">
        <f>AND(#REF!,"AAAAAH+5nwU=")</f>
        <v>#REF!</v>
      </c>
      <c r="G12" t="e">
        <f>AND(#REF!,"AAAAAH+5nwY=")</f>
        <v>#REF!</v>
      </c>
      <c r="H12" t="e">
        <f>AND(#REF!,"AAAAAH+5nwc=")</f>
        <v>#REF!</v>
      </c>
      <c r="I12" t="e">
        <f>AND(#REF!,"AAAAAH+5nwg=")</f>
        <v>#REF!</v>
      </c>
      <c r="J12" t="e">
        <f>AND(#REF!,"AAAAAH+5nwk=")</f>
        <v>#REF!</v>
      </c>
      <c r="K12" t="e">
        <f>AND(#REF!,"AAAAAH+5nwo=")</f>
        <v>#REF!</v>
      </c>
      <c r="L12" t="e">
        <f>AND(#REF!,"AAAAAH+5nws=")</f>
        <v>#REF!</v>
      </c>
      <c r="M12" t="e">
        <f>AND(#REF!,"AAAAAH+5nww=")</f>
        <v>#REF!</v>
      </c>
      <c r="N12" t="e">
        <f>AND(#REF!,"AAAAAH+5nw0=")</f>
        <v>#REF!</v>
      </c>
      <c r="O12" t="e">
        <f>AND(#REF!,"AAAAAH+5nw4=")</f>
        <v>#REF!</v>
      </c>
      <c r="P12" t="e">
        <f>IF(#REF!,"AAAAAH+5nw8=",0)</f>
        <v>#REF!</v>
      </c>
      <c r="Q12" t="e">
        <f>AND(#REF!,"AAAAAH+5nxA=")</f>
        <v>#REF!</v>
      </c>
      <c r="R12" t="e">
        <f>AND(#REF!,"AAAAAH+5nxE=")</f>
        <v>#REF!</v>
      </c>
      <c r="S12" t="e">
        <f>AND(#REF!,"AAAAAH+5nxI=")</f>
        <v>#REF!</v>
      </c>
      <c r="T12" t="e">
        <f>AND(#REF!,"AAAAAH+5nxM=")</f>
        <v>#REF!</v>
      </c>
      <c r="U12" t="e">
        <f>AND(#REF!,"AAAAAH+5nxQ=")</f>
        <v>#REF!</v>
      </c>
      <c r="V12" t="e">
        <f>AND(#REF!,"AAAAAH+5nxU=")</f>
        <v>#REF!</v>
      </c>
      <c r="W12" t="e">
        <f>AND(#REF!,"AAAAAH+5nxY=")</f>
        <v>#REF!</v>
      </c>
      <c r="X12" t="e">
        <f>AND(#REF!,"AAAAAH+5nxc=")</f>
        <v>#REF!</v>
      </c>
      <c r="Y12" t="e">
        <f>AND(#REF!,"AAAAAH+5nxg=")</f>
        <v>#REF!</v>
      </c>
      <c r="Z12" t="e">
        <f>AND(#REF!,"AAAAAH+5nxk=")</f>
        <v>#REF!</v>
      </c>
      <c r="AA12" t="e">
        <f>AND(#REF!,"AAAAAH+5nxo=")</f>
        <v>#REF!</v>
      </c>
      <c r="AB12" t="e">
        <f>AND(#REF!,"AAAAAH+5nxs=")</f>
        <v>#REF!</v>
      </c>
      <c r="AC12" t="e">
        <f>AND(#REF!,"AAAAAH+5nxw=")</f>
        <v>#REF!</v>
      </c>
      <c r="AD12" t="e">
        <f>AND(#REF!,"AAAAAH+5nx0=")</f>
        <v>#REF!</v>
      </c>
      <c r="AE12" t="e">
        <f>AND(#REF!,"AAAAAH+5nx4=")</f>
        <v>#REF!</v>
      </c>
      <c r="AF12" t="e">
        <f>AND(#REF!,"AAAAAH+5nx8=")</f>
        <v>#REF!</v>
      </c>
      <c r="AG12" t="e">
        <f>AND(#REF!,"AAAAAH+5nyA=")</f>
        <v>#REF!</v>
      </c>
      <c r="AH12" t="e">
        <f>AND(#REF!,"AAAAAH+5nyE=")</f>
        <v>#REF!</v>
      </c>
      <c r="AI12" t="e">
        <f>AND(#REF!,"AAAAAH+5nyI=")</f>
        <v>#REF!</v>
      </c>
      <c r="AJ12" t="e">
        <f>AND(#REF!,"AAAAAH+5nyM=")</f>
        <v>#REF!</v>
      </c>
      <c r="AK12" t="e">
        <f>AND(#REF!,"AAAAAH+5nyQ=")</f>
        <v>#REF!</v>
      </c>
      <c r="AL12" t="e">
        <f>AND(#REF!,"AAAAAH+5nyU=")</f>
        <v>#REF!</v>
      </c>
      <c r="AM12" t="e">
        <f>AND(#REF!,"AAAAAH+5nyY=")</f>
        <v>#REF!</v>
      </c>
      <c r="AN12" t="e">
        <f>IF(#REF!,"AAAAAH+5nyc=",0)</f>
        <v>#REF!</v>
      </c>
      <c r="AO12" t="e">
        <f>AND(#REF!,"AAAAAH+5nyg=")</f>
        <v>#REF!</v>
      </c>
      <c r="AP12" t="e">
        <f>AND(#REF!,"AAAAAH+5nyk=")</f>
        <v>#REF!</v>
      </c>
      <c r="AQ12" t="e">
        <f>AND(#REF!,"AAAAAH+5nyo=")</f>
        <v>#REF!</v>
      </c>
      <c r="AR12" t="e">
        <f>AND(#REF!,"AAAAAH+5nys=")</f>
        <v>#REF!</v>
      </c>
      <c r="AS12" t="e">
        <f>AND(#REF!,"AAAAAH+5nyw=")</f>
        <v>#REF!</v>
      </c>
      <c r="AT12" t="e">
        <f>AND(#REF!,"AAAAAH+5ny0=")</f>
        <v>#REF!</v>
      </c>
      <c r="AU12" t="e">
        <f>AND(#REF!,"AAAAAH+5ny4=")</f>
        <v>#REF!</v>
      </c>
      <c r="AV12" t="e">
        <f>AND(#REF!,"AAAAAH+5ny8=")</f>
        <v>#REF!</v>
      </c>
      <c r="AW12" t="e">
        <f>AND(#REF!,"AAAAAH+5nzA=")</f>
        <v>#REF!</v>
      </c>
      <c r="AX12" t="e">
        <f>AND(#REF!,"AAAAAH+5nzE=")</f>
        <v>#REF!</v>
      </c>
      <c r="AY12" t="e">
        <f>AND(#REF!,"AAAAAH+5nzI=")</f>
        <v>#REF!</v>
      </c>
      <c r="AZ12" t="e">
        <f>AND(#REF!,"AAAAAH+5nzM=")</f>
        <v>#REF!</v>
      </c>
      <c r="BA12" t="e">
        <f>AND(#REF!,"AAAAAH+5nzQ=")</f>
        <v>#REF!</v>
      </c>
      <c r="BB12" t="e">
        <f>AND(#REF!,"AAAAAH+5nzU=")</f>
        <v>#REF!</v>
      </c>
      <c r="BC12" t="e">
        <f>AND(#REF!,"AAAAAH+5nzY=")</f>
        <v>#REF!</v>
      </c>
      <c r="BD12" t="e">
        <f>AND(#REF!,"AAAAAH+5nzc=")</f>
        <v>#REF!</v>
      </c>
      <c r="BE12" t="e">
        <f>AND(#REF!,"AAAAAH+5nzg=")</f>
        <v>#REF!</v>
      </c>
      <c r="BF12" t="e">
        <f>AND(#REF!,"AAAAAH+5nzk=")</f>
        <v>#REF!</v>
      </c>
      <c r="BG12" t="e">
        <f>AND(#REF!,"AAAAAH+5nzo=")</f>
        <v>#REF!</v>
      </c>
      <c r="BH12" t="e">
        <f>AND(#REF!,"AAAAAH+5nzs=")</f>
        <v>#REF!</v>
      </c>
      <c r="BI12" t="e">
        <f>AND(#REF!,"AAAAAH+5nzw=")</f>
        <v>#REF!</v>
      </c>
      <c r="BJ12" t="e">
        <f>AND(#REF!,"AAAAAH+5nz0=")</f>
        <v>#REF!</v>
      </c>
      <c r="BK12" t="e">
        <f>AND(#REF!,"AAAAAH+5nz4=")</f>
        <v>#REF!</v>
      </c>
      <c r="BL12" t="e">
        <f>IF(#REF!,"AAAAAH+5nz8=",0)</f>
        <v>#REF!</v>
      </c>
      <c r="BM12" t="e">
        <f>AND(#REF!,"AAAAAH+5n0A=")</f>
        <v>#REF!</v>
      </c>
      <c r="BN12" t="e">
        <f>AND(#REF!,"AAAAAH+5n0E=")</f>
        <v>#REF!</v>
      </c>
      <c r="BO12" t="e">
        <f>AND(#REF!,"AAAAAH+5n0I=")</f>
        <v>#REF!</v>
      </c>
      <c r="BP12" t="e">
        <f>AND(#REF!,"AAAAAH+5n0M=")</f>
        <v>#REF!</v>
      </c>
      <c r="BQ12" t="e">
        <f>AND(#REF!,"AAAAAH+5n0Q=")</f>
        <v>#REF!</v>
      </c>
      <c r="BR12" t="e">
        <f>AND(#REF!,"AAAAAH+5n0U=")</f>
        <v>#REF!</v>
      </c>
      <c r="BS12" t="e">
        <f>AND(#REF!,"AAAAAH+5n0Y=")</f>
        <v>#REF!</v>
      </c>
      <c r="BT12" t="e">
        <f>AND(#REF!,"AAAAAH+5n0c=")</f>
        <v>#REF!</v>
      </c>
      <c r="BU12" t="e">
        <f>AND(#REF!,"AAAAAH+5n0g=")</f>
        <v>#REF!</v>
      </c>
      <c r="BV12" t="e">
        <f>AND(#REF!,"AAAAAH+5n0k=")</f>
        <v>#REF!</v>
      </c>
      <c r="BW12" t="e">
        <f>AND(#REF!,"AAAAAH+5n0o=")</f>
        <v>#REF!</v>
      </c>
      <c r="BX12" t="e">
        <f>AND(#REF!,"AAAAAH+5n0s=")</f>
        <v>#REF!</v>
      </c>
      <c r="BY12" t="e">
        <f>AND(#REF!,"AAAAAH+5n0w=")</f>
        <v>#REF!</v>
      </c>
      <c r="BZ12" t="e">
        <f>AND(#REF!,"AAAAAH+5n00=")</f>
        <v>#REF!</v>
      </c>
      <c r="CA12" t="e">
        <f>AND(#REF!,"AAAAAH+5n04=")</f>
        <v>#REF!</v>
      </c>
      <c r="CB12" t="e">
        <f>AND(#REF!,"AAAAAH+5n08=")</f>
        <v>#REF!</v>
      </c>
      <c r="CC12" t="e">
        <f>AND(#REF!,"AAAAAH+5n1A=")</f>
        <v>#REF!</v>
      </c>
      <c r="CD12" t="e">
        <f>AND(#REF!,"AAAAAH+5n1E=")</f>
        <v>#REF!</v>
      </c>
      <c r="CE12" t="e">
        <f>AND(#REF!,"AAAAAH+5n1I=")</f>
        <v>#REF!</v>
      </c>
      <c r="CF12" t="e">
        <f>AND(#REF!,"AAAAAH+5n1M=")</f>
        <v>#REF!</v>
      </c>
      <c r="CG12" t="e">
        <f>AND(#REF!,"AAAAAH+5n1Q=")</f>
        <v>#REF!</v>
      </c>
      <c r="CH12" t="e">
        <f>AND(#REF!,"AAAAAH+5n1U=")</f>
        <v>#REF!</v>
      </c>
      <c r="CI12" t="e">
        <f>AND(#REF!,"AAAAAH+5n1Y=")</f>
        <v>#REF!</v>
      </c>
      <c r="CJ12" t="e">
        <f>IF(#REF!,"AAAAAH+5n1c=",0)</f>
        <v>#REF!</v>
      </c>
      <c r="CK12" t="e">
        <f>AND(#REF!,"AAAAAH+5n1g=")</f>
        <v>#REF!</v>
      </c>
      <c r="CL12" t="e">
        <f>AND(#REF!,"AAAAAH+5n1k=")</f>
        <v>#REF!</v>
      </c>
      <c r="CM12" t="e">
        <f>AND(#REF!,"AAAAAH+5n1o=")</f>
        <v>#REF!</v>
      </c>
      <c r="CN12" t="e">
        <f>AND(#REF!,"AAAAAH+5n1s=")</f>
        <v>#REF!</v>
      </c>
      <c r="CO12" t="e">
        <f>AND(#REF!,"AAAAAH+5n1w=")</f>
        <v>#REF!</v>
      </c>
      <c r="CP12" t="e">
        <f>AND(#REF!,"AAAAAH+5n10=")</f>
        <v>#REF!</v>
      </c>
      <c r="CQ12" t="e">
        <f>AND(#REF!,"AAAAAH+5n14=")</f>
        <v>#REF!</v>
      </c>
      <c r="CR12" t="e">
        <f>AND(#REF!,"AAAAAH+5n18=")</f>
        <v>#REF!</v>
      </c>
      <c r="CS12" t="e">
        <f>AND(#REF!,"AAAAAH+5n2A=")</f>
        <v>#REF!</v>
      </c>
      <c r="CT12" t="e">
        <f>AND(#REF!,"AAAAAH+5n2E=")</f>
        <v>#REF!</v>
      </c>
      <c r="CU12" t="e">
        <f>AND(#REF!,"AAAAAH+5n2I=")</f>
        <v>#REF!</v>
      </c>
      <c r="CV12" t="e">
        <f>AND(#REF!,"AAAAAH+5n2M=")</f>
        <v>#REF!</v>
      </c>
      <c r="CW12" t="e">
        <f>AND(#REF!,"AAAAAH+5n2Q=")</f>
        <v>#REF!</v>
      </c>
      <c r="CX12" t="e">
        <f>AND(#REF!,"AAAAAH+5n2U=")</f>
        <v>#REF!</v>
      </c>
      <c r="CY12" t="e">
        <f>AND(#REF!,"AAAAAH+5n2Y=")</f>
        <v>#REF!</v>
      </c>
      <c r="CZ12" t="e">
        <f>AND(#REF!,"AAAAAH+5n2c=")</f>
        <v>#REF!</v>
      </c>
      <c r="DA12" t="e">
        <f>AND(#REF!,"AAAAAH+5n2g=")</f>
        <v>#REF!</v>
      </c>
      <c r="DB12" t="e">
        <f>AND(#REF!,"AAAAAH+5n2k=")</f>
        <v>#REF!</v>
      </c>
      <c r="DC12" t="e">
        <f>AND(#REF!,"AAAAAH+5n2o=")</f>
        <v>#REF!</v>
      </c>
      <c r="DD12" t="e">
        <f>AND(#REF!,"AAAAAH+5n2s=")</f>
        <v>#REF!</v>
      </c>
      <c r="DE12" t="e">
        <f>AND(#REF!,"AAAAAH+5n2w=")</f>
        <v>#REF!</v>
      </c>
      <c r="DF12" t="e">
        <f>AND(#REF!,"AAAAAH+5n20=")</f>
        <v>#REF!</v>
      </c>
      <c r="DG12" t="e">
        <f>AND(#REF!,"AAAAAH+5n24=")</f>
        <v>#REF!</v>
      </c>
      <c r="DH12" t="e">
        <f>IF(#REF!,"AAAAAH+5n28=",0)</f>
        <v>#REF!</v>
      </c>
      <c r="DI12" t="e">
        <f>AND(#REF!,"AAAAAH+5n3A=")</f>
        <v>#REF!</v>
      </c>
      <c r="DJ12" t="e">
        <f>AND(#REF!,"AAAAAH+5n3E=")</f>
        <v>#REF!</v>
      </c>
      <c r="DK12" t="e">
        <f>AND(#REF!,"AAAAAH+5n3I=")</f>
        <v>#REF!</v>
      </c>
      <c r="DL12" t="e">
        <f>AND(#REF!,"AAAAAH+5n3M=")</f>
        <v>#REF!</v>
      </c>
      <c r="DM12" t="e">
        <f>AND(#REF!,"AAAAAH+5n3Q=")</f>
        <v>#REF!</v>
      </c>
      <c r="DN12" t="e">
        <f>AND(#REF!,"AAAAAH+5n3U=")</f>
        <v>#REF!</v>
      </c>
      <c r="DO12" t="e">
        <f>AND(#REF!,"AAAAAH+5n3Y=")</f>
        <v>#REF!</v>
      </c>
      <c r="DP12" t="e">
        <f>AND(#REF!,"AAAAAH+5n3c=")</f>
        <v>#REF!</v>
      </c>
      <c r="DQ12" t="e">
        <f>AND(#REF!,"AAAAAH+5n3g=")</f>
        <v>#REF!</v>
      </c>
      <c r="DR12" t="e">
        <f>AND(#REF!,"AAAAAH+5n3k=")</f>
        <v>#REF!</v>
      </c>
      <c r="DS12" t="e">
        <f>AND(#REF!,"AAAAAH+5n3o=")</f>
        <v>#REF!</v>
      </c>
      <c r="DT12" t="e">
        <f>AND(#REF!,"AAAAAH+5n3s=")</f>
        <v>#REF!</v>
      </c>
      <c r="DU12" t="e">
        <f>AND(#REF!,"AAAAAH+5n3w=")</f>
        <v>#REF!</v>
      </c>
      <c r="DV12" t="e">
        <f>AND(#REF!,"AAAAAH+5n30=")</f>
        <v>#REF!</v>
      </c>
      <c r="DW12" t="e">
        <f>AND(#REF!,"AAAAAH+5n34=")</f>
        <v>#REF!</v>
      </c>
      <c r="DX12" t="e">
        <f>AND(#REF!,"AAAAAH+5n38=")</f>
        <v>#REF!</v>
      </c>
      <c r="DY12" t="e">
        <f>AND(#REF!,"AAAAAH+5n4A=")</f>
        <v>#REF!</v>
      </c>
      <c r="DZ12" t="e">
        <f>AND(#REF!,"AAAAAH+5n4E=")</f>
        <v>#REF!</v>
      </c>
      <c r="EA12" t="e">
        <f>AND(#REF!,"AAAAAH+5n4I=")</f>
        <v>#REF!</v>
      </c>
      <c r="EB12" t="e">
        <f>AND(#REF!,"AAAAAH+5n4M=")</f>
        <v>#REF!</v>
      </c>
      <c r="EC12" t="e">
        <f>AND(#REF!,"AAAAAH+5n4Q=")</f>
        <v>#REF!</v>
      </c>
      <c r="ED12" t="e">
        <f>AND(#REF!,"AAAAAH+5n4U=")</f>
        <v>#REF!</v>
      </c>
      <c r="EE12" t="e">
        <f>AND(#REF!,"AAAAAH+5n4Y=")</f>
        <v>#REF!</v>
      </c>
      <c r="EF12" t="e">
        <f>IF(#REF!,"AAAAAH+5n4c=",0)</f>
        <v>#REF!</v>
      </c>
      <c r="EG12" t="e">
        <f>AND(#REF!,"AAAAAH+5n4g=")</f>
        <v>#REF!</v>
      </c>
      <c r="EH12" t="e">
        <f>AND(#REF!,"AAAAAH+5n4k=")</f>
        <v>#REF!</v>
      </c>
      <c r="EI12" t="e">
        <f>AND(#REF!,"AAAAAH+5n4o=")</f>
        <v>#REF!</v>
      </c>
      <c r="EJ12" t="e">
        <f>AND(#REF!,"AAAAAH+5n4s=")</f>
        <v>#REF!</v>
      </c>
      <c r="EK12" t="e">
        <f>AND(#REF!,"AAAAAH+5n4w=")</f>
        <v>#REF!</v>
      </c>
      <c r="EL12" t="e">
        <f>AND(#REF!,"AAAAAH+5n40=")</f>
        <v>#REF!</v>
      </c>
      <c r="EM12" t="e">
        <f>AND(#REF!,"AAAAAH+5n44=")</f>
        <v>#REF!</v>
      </c>
      <c r="EN12" t="e">
        <f>AND(#REF!,"AAAAAH+5n48=")</f>
        <v>#REF!</v>
      </c>
      <c r="EO12" t="e">
        <f>AND(#REF!,"AAAAAH+5n5A=")</f>
        <v>#REF!</v>
      </c>
      <c r="EP12" t="e">
        <f>AND(#REF!,"AAAAAH+5n5E=")</f>
        <v>#REF!</v>
      </c>
      <c r="EQ12" t="e">
        <f>AND(#REF!,"AAAAAH+5n5I=")</f>
        <v>#REF!</v>
      </c>
      <c r="ER12" t="e">
        <f>AND(#REF!,"AAAAAH+5n5M=")</f>
        <v>#REF!</v>
      </c>
      <c r="ES12" t="e">
        <f>AND(#REF!,"AAAAAH+5n5Q=")</f>
        <v>#REF!</v>
      </c>
      <c r="ET12" t="e">
        <f>AND(#REF!,"AAAAAH+5n5U=")</f>
        <v>#REF!</v>
      </c>
      <c r="EU12" t="e">
        <f>AND(#REF!,"AAAAAH+5n5Y=")</f>
        <v>#REF!</v>
      </c>
      <c r="EV12" t="e">
        <f>AND(#REF!,"AAAAAH+5n5c=")</f>
        <v>#REF!</v>
      </c>
      <c r="EW12" t="e">
        <f>AND(#REF!,"AAAAAH+5n5g=")</f>
        <v>#REF!</v>
      </c>
      <c r="EX12" t="e">
        <f>AND(#REF!,"AAAAAH+5n5k=")</f>
        <v>#REF!</v>
      </c>
      <c r="EY12" t="e">
        <f>AND(#REF!,"AAAAAH+5n5o=")</f>
        <v>#REF!</v>
      </c>
      <c r="EZ12" t="e">
        <f>AND(#REF!,"AAAAAH+5n5s=")</f>
        <v>#REF!</v>
      </c>
      <c r="FA12" t="e">
        <f>AND(#REF!,"AAAAAH+5n5w=")</f>
        <v>#REF!</v>
      </c>
      <c r="FB12" t="e">
        <f>AND(#REF!,"AAAAAH+5n50=")</f>
        <v>#REF!</v>
      </c>
      <c r="FC12" t="e">
        <f>AND(#REF!,"AAAAAH+5n54=")</f>
        <v>#REF!</v>
      </c>
      <c r="FD12" t="e">
        <f>IF(#REF!,"AAAAAH+5n58=",0)</f>
        <v>#REF!</v>
      </c>
      <c r="FE12" t="e">
        <f>AND(#REF!,"AAAAAH+5n6A=")</f>
        <v>#REF!</v>
      </c>
      <c r="FF12" t="e">
        <f>AND(#REF!,"AAAAAH+5n6E=")</f>
        <v>#REF!</v>
      </c>
      <c r="FG12" t="e">
        <f>AND(#REF!,"AAAAAH+5n6I=")</f>
        <v>#REF!</v>
      </c>
      <c r="FH12" t="e">
        <f>AND(#REF!,"AAAAAH+5n6M=")</f>
        <v>#REF!</v>
      </c>
      <c r="FI12" t="e">
        <f>AND(#REF!,"AAAAAH+5n6Q=")</f>
        <v>#REF!</v>
      </c>
      <c r="FJ12" t="e">
        <f>AND(#REF!,"AAAAAH+5n6U=")</f>
        <v>#REF!</v>
      </c>
      <c r="FK12" t="e">
        <f>AND(#REF!,"AAAAAH+5n6Y=")</f>
        <v>#REF!</v>
      </c>
      <c r="FL12" t="e">
        <f>AND(#REF!,"AAAAAH+5n6c=")</f>
        <v>#REF!</v>
      </c>
      <c r="FM12" t="e">
        <f>AND(#REF!,"AAAAAH+5n6g=")</f>
        <v>#REF!</v>
      </c>
      <c r="FN12" t="e">
        <f>AND(#REF!,"AAAAAH+5n6k=")</f>
        <v>#REF!</v>
      </c>
      <c r="FO12" t="e">
        <f>AND(#REF!,"AAAAAH+5n6o=")</f>
        <v>#REF!</v>
      </c>
      <c r="FP12" t="e">
        <f>AND(#REF!,"AAAAAH+5n6s=")</f>
        <v>#REF!</v>
      </c>
      <c r="FQ12" t="e">
        <f>AND(#REF!,"AAAAAH+5n6w=")</f>
        <v>#REF!</v>
      </c>
      <c r="FR12" t="e">
        <f>AND(#REF!,"AAAAAH+5n60=")</f>
        <v>#REF!</v>
      </c>
      <c r="FS12" t="e">
        <f>AND(#REF!,"AAAAAH+5n64=")</f>
        <v>#REF!</v>
      </c>
      <c r="FT12" t="e">
        <f>AND(#REF!,"AAAAAH+5n68=")</f>
        <v>#REF!</v>
      </c>
      <c r="FU12" t="e">
        <f>AND(#REF!,"AAAAAH+5n7A=")</f>
        <v>#REF!</v>
      </c>
      <c r="FV12" t="e">
        <f>AND(#REF!,"AAAAAH+5n7E=")</f>
        <v>#REF!</v>
      </c>
      <c r="FW12" t="e">
        <f>AND(#REF!,"AAAAAH+5n7I=")</f>
        <v>#REF!</v>
      </c>
      <c r="FX12" t="e">
        <f>AND(#REF!,"AAAAAH+5n7M=")</f>
        <v>#REF!</v>
      </c>
      <c r="FY12" t="e">
        <f>AND(#REF!,"AAAAAH+5n7Q=")</f>
        <v>#REF!</v>
      </c>
      <c r="FZ12" t="e">
        <f>AND(#REF!,"AAAAAH+5n7U=")</f>
        <v>#REF!</v>
      </c>
      <c r="GA12" t="e">
        <f>AND(#REF!,"AAAAAH+5n7Y=")</f>
        <v>#REF!</v>
      </c>
      <c r="GB12" t="e">
        <f>IF(#REF!,"AAAAAH+5n7c=",0)</f>
        <v>#REF!</v>
      </c>
      <c r="GC12" t="e">
        <f>AND(#REF!,"AAAAAH+5n7g=")</f>
        <v>#REF!</v>
      </c>
      <c r="GD12" t="e">
        <f>AND(#REF!,"AAAAAH+5n7k=")</f>
        <v>#REF!</v>
      </c>
      <c r="GE12" t="e">
        <f>AND(#REF!,"AAAAAH+5n7o=")</f>
        <v>#REF!</v>
      </c>
      <c r="GF12" t="e">
        <f>AND(#REF!,"AAAAAH+5n7s=")</f>
        <v>#REF!</v>
      </c>
      <c r="GG12" t="e">
        <f>AND(#REF!,"AAAAAH+5n7w=")</f>
        <v>#REF!</v>
      </c>
      <c r="GH12" t="e">
        <f>AND(#REF!,"AAAAAH+5n70=")</f>
        <v>#REF!</v>
      </c>
      <c r="GI12" t="e">
        <f>AND(#REF!,"AAAAAH+5n74=")</f>
        <v>#REF!</v>
      </c>
      <c r="GJ12" t="e">
        <f>AND(#REF!,"AAAAAH+5n78=")</f>
        <v>#REF!</v>
      </c>
      <c r="GK12" t="e">
        <f>AND(#REF!,"AAAAAH+5n8A=")</f>
        <v>#REF!</v>
      </c>
      <c r="GL12" t="e">
        <f>AND(#REF!,"AAAAAH+5n8E=")</f>
        <v>#REF!</v>
      </c>
      <c r="GM12" t="e">
        <f>AND(#REF!,"AAAAAH+5n8I=")</f>
        <v>#REF!</v>
      </c>
      <c r="GN12" t="e">
        <f>AND(#REF!,"AAAAAH+5n8M=")</f>
        <v>#REF!</v>
      </c>
      <c r="GO12" t="e">
        <f>AND(#REF!,"AAAAAH+5n8Q=")</f>
        <v>#REF!</v>
      </c>
      <c r="GP12" t="e">
        <f>AND(#REF!,"AAAAAH+5n8U=")</f>
        <v>#REF!</v>
      </c>
      <c r="GQ12" t="e">
        <f>AND(#REF!,"AAAAAH+5n8Y=")</f>
        <v>#REF!</v>
      </c>
      <c r="GR12" t="e">
        <f>AND(#REF!,"AAAAAH+5n8c=")</f>
        <v>#REF!</v>
      </c>
      <c r="GS12" t="e">
        <f>AND(#REF!,"AAAAAH+5n8g=")</f>
        <v>#REF!</v>
      </c>
      <c r="GT12" t="e">
        <f>AND(#REF!,"AAAAAH+5n8k=")</f>
        <v>#REF!</v>
      </c>
      <c r="GU12" t="e">
        <f>AND(#REF!,"AAAAAH+5n8o=")</f>
        <v>#REF!</v>
      </c>
      <c r="GV12" t="e">
        <f>AND(#REF!,"AAAAAH+5n8s=")</f>
        <v>#REF!</v>
      </c>
      <c r="GW12" t="e">
        <f>AND(#REF!,"AAAAAH+5n8w=")</f>
        <v>#REF!</v>
      </c>
      <c r="GX12" t="e">
        <f>AND(#REF!,"AAAAAH+5n80=")</f>
        <v>#REF!</v>
      </c>
      <c r="GY12" t="e">
        <f>AND(#REF!,"AAAAAH+5n84=")</f>
        <v>#REF!</v>
      </c>
      <c r="GZ12" t="e">
        <f>IF(#REF!,"AAAAAH+5n88=",0)</f>
        <v>#REF!</v>
      </c>
      <c r="HA12" t="e">
        <f>AND(#REF!,"AAAAAH+5n9A=")</f>
        <v>#REF!</v>
      </c>
      <c r="HB12" t="e">
        <f>AND(#REF!,"AAAAAH+5n9E=")</f>
        <v>#REF!</v>
      </c>
      <c r="HC12" t="e">
        <f>AND(#REF!,"AAAAAH+5n9I=")</f>
        <v>#REF!</v>
      </c>
      <c r="HD12" t="e">
        <f>AND(#REF!,"AAAAAH+5n9M=")</f>
        <v>#REF!</v>
      </c>
      <c r="HE12" t="e">
        <f>AND(#REF!,"AAAAAH+5n9Q=")</f>
        <v>#REF!</v>
      </c>
      <c r="HF12" t="e">
        <f>AND(#REF!,"AAAAAH+5n9U=")</f>
        <v>#REF!</v>
      </c>
      <c r="HG12" t="e">
        <f>AND(#REF!,"AAAAAH+5n9Y=")</f>
        <v>#REF!</v>
      </c>
      <c r="HH12" t="e">
        <f>AND(#REF!,"AAAAAH+5n9c=")</f>
        <v>#REF!</v>
      </c>
      <c r="HI12" t="e">
        <f>AND(#REF!,"AAAAAH+5n9g=")</f>
        <v>#REF!</v>
      </c>
      <c r="HJ12" t="e">
        <f>AND(#REF!,"AAAAAH+5n9k=")</f>
        <v>#REF!</v>
      </c>
      <c r="HK12" t="e">
        <f>AND(#REF!,"AAAAAH+5n9o=")</f>
        <v>#REF!</v>
      </c>
      <c r="HL12" t="e">
        <f>AND(#REF!,"AAAAAH+5n9s=")</f>
        <v>#REF!</v>
      </c>
      <c r="HM12" t="e">
        <f>AND(#REF!,"AAAAAH+5n9w=")</f>
        <v>#REF!</v>
      </c>
      <c r="HN12" t="e">
        <f>AND(#REF!,"AAAAAH+5n90=")</f>
        <v>#REF!</v>
      </c>
      <c r="HO12" t="e">
        <f>AND(#REF!,"AAAAAH+5n94=")</f>
        <v>#REF!</v>
      </c>
      <c r="HP12" t="e">
        <f>AND(#REF!,"AAAAAH+5n98=")</f>
        <v>#REF!</v>
      </c>
      <c r="HQ12" t="e">
        <f>AND(#REF!,"AAAAAH+5n+A=")</f>
        <v>#REF!</v>
      </c>
      <c r="HR12" t="e">
        <f>AND(#REF!,"AAAAAH+5n+E=")</f>
        <v>#REF!</v>
      </c>
      <c r="HS12" t="e">
        <f>AND(#REF!,"AAAAAH+5n+I=")</f>
        <v>#REF!</v>
      </c>
      <c r="HT12" t="e">
        <f>AND(#REF!,"AAAAAH+5n+M=")</f>
        <v>#REF!</v>
      </c>
      <c r="HU12" t="e">
        <f>AND(#REF!,"AAAAAH+5n+Q=")</f>
        <v>#REF!</v>
      </c>
      <c r="HV12" t="e">
        <f>AND(#REF!,"AAAAAH+5n+U=")</f>
        <v>#REF!</v>
      </c>
      <c r="HW12" t="e">
        <f>AND(#REF!,"AAAAAH+5n+Y=")</f>
        <v>#REF!</v>
      </c>
      <c r="HX12" t="e">
        <f>IF(#REF!,"AAAAAH+5n+c=",0)</f>
        <v>#REF!</v>
      </c>
      <c r="HY12" t="e">
        <f>AND(#REF!,"AAAAAH+5n+g=")</f>
        <v>#REF!</v>
      </c>
      <c r="HZ12" t="e">
        <f>AND(#REF!,"AAAAAH+5n+k=")</f>
        <v>#REF!</v>
      </c>
      <c r="IA12" t="e">
        <f>AND(#REF!,"AAAAAH+5n+o=")</f>
        <v>#REF!</v>
      </c>
      <c r="IB12" t="e">
        <f>AND(#REF!,"AAAAAH+5n+s=")</f>
        <v>#REF!</v>
      </c>
      <c r="IC12" t="e">
        <f>AND(#REF!,"AAAAAH+5n+w=")</f>
        <v>#REF!</v>
      </c>
      <c r="ID12" t="e">
        <f>AND(#REF!,"AAAAAH+5n+0=")</f>
        <v>#REF!</v>
      </c>
      <c r="IE12" t="e">
        <f>AND(#REF!,"AAAAAH+5n+4=")</f>
        <v>#REF!</v>
      </c>
      <c r="IF12" t="e">
        <f>AND(#REF!,"AAAAAH+5n+8=")</f>
        <v>#REF!</v>
      </c>
      <c r="IG12" t="e">
        <f>AND(#REF!,"AAAAAH+5n/A=")</f>
        <v>#REF!</v>
      </c>
      <c r="IH12" t="e">
        <f>AND(#REF!,"AAAAAH+5n/E=")</f>
        <v>#REF!</v>
      </c>
      <c r="II12" t="e">
        <f>AND(#REF!,"AAAAAH+5n/I=")</f>
        <v>#REF!</v>
      </c>
      <c r="IJ12" t="e">
        <f>AND(#REF!,"AAAAAH+5n/M=")</f>
        <v>#REF!</v>
      </c>
      <c r="IK12" t="e">
        <f>AND(#REF!,"AAAAAH+5n/Q=")</f>
        <v>#REF!</v>
      </c>
      <c r="IL12" t="e">
        <f>AND(#REF!,"AAAAAH+5n/U=")</f>
        <v>#REF!</v>
      </c>
      <c r="IM12" t="e">
        <f>AND(#REF!,"AAAAAH+5n/Y=")</f>
        <v>#REF!</v>
      </c>
      <c r="IN12" t="e">
        <f>AND(#REF!,"AAAAAH+5n/c=")</f>
        <v>#REF!</v>
      </c>
      <c r="IO12" t="e">
        <f>AND(#REF!,"AAAAAH+5n/g=")</f>
        <v>#REF!</v>
      </c>
      <c r="IP12" t="e">
        <f>AND(#REF!,"AAAAAH+5n/k=")</f>
        <v>#REF!</v>
      </c>
      <c r="IQ12" t="e">
        <f>AND(#REF!,"AAAAAH+5n/o=")</f>
        <v>#REF!</v>
      </c>
      <c r="IR12" t="e">
        <f>AND(#REF!,"AAAAAH+5n/s=")</f>
        <v>#REF!</v>
      </c>
      <c r="IS12" t="e">
        <f>AND(#REF!,"AAAAAH+5n/w=")</f>
        <v>#REF!</v>
      </c>
      <c r="IT12" t="e">
        <f>AND(#REF!,"AAAAAH+5n/0=")</f>
        <v>#REF!</v>
      </c>
      <c r="IU12" t="e">
        <f>AND(#REF!,"AAAAAH+5n/4=")</f>
        <v>#REF!</v>
      </c>
      <c r="IV12" t="e">
        <f>IF(#REF!,"AAAAAH+5n/8=",0)</f>
        <v>#REF!</v>
      </c>
    </row>
    <row r="13" spans="1:256" x14ac:dyDescent="0.25">
      <c r="A13" t="e">
        <f>AND(#REF!,"AAAAAH3XvwA=")</f>
        <v>#REF!</v>
      </c>
      <c r="B13" t="e">
        <f>AND(#REF!,"AAAAAH3XvwE=")</f>
        <v>#REF!</v>
      </c>
      <c r="C13" t="e">
        <f>AND(#REF!,"AAAAAH3XvwI=")</f>
        <v>#REF!</v>
      </c>
      <c r="D13" t="e">
        <f>AND(#REF!,"AAAAAH3XvwM=")</f>
        <v>#REF!</v>
      </c>
      <c r="E13" t="e">
        <f>AND(#REF!,"AAAAAH3XvwQ=")</f>
        <v>#REF!</v>
      </c>
      <c r="F13" t="e">
        <f>AND(#REF!,"AAAAAH3XvwU=")</f>
        <v>#REF!</v>
      </c>
      <c r="G13" t="e">
        <f>AND(#REF!,"AAAAAH3XvwY=")</f>
        <v>#REF!</v>
      </c>
      <c r="H13" t="e">
        <f>AND(#REF!,"AAAAAH3Xvwc=")</f>
        <v>#REF!</v>
      </c>
      <c r="I13" t="e">
        <f>AND(#REF!,"AAAAAH3Xvwg=")</f>
        <v>#REF!</v>
      </c>
      <c r="J13" t="e">
        <f>AND(#REF!,"AAAAAH3Xvwk=")</f>
        <v>#REF!</v>
      </c>
      <c r="K13" t="e">
        <f>AND(#REF!,"AAAAAH3Xvwo=")</f>
        <v>#REF!</v>
      </c>
      <c r="L13" t="e">
        <f>AND(#REF!,"AAAAAH3Xvws=")</f>
        <v>#REF!</v>
      </c>
      <c r="M13" t="e">
        <f>AND(#REF!,"AAAAAH3Xvww=")</f>
        <v>#REF!</v>
      </c>
      <c r="N13" t="e">
        <f>AND(#REF!,"AAAAAH3Xvw0=")</f>
        <v>#REF!</v>
      </c>
      <c r="O13" t="e">
        <f>AND(#REF!,"AAAAAH3Xvw4=")</f>
        <v>#REF!</v>
      </c>
      <c r="P13" t="e">
        <f>AND(#REF!,"AAAAAH3Xvw8=")</f>
        <v>#REF!</v>
      </c>
      <c r="Q13" t="e">
        <f>AND(#REF!,"AAAAAH3XvxA=")</f>
        <v>#REF!</v>
      </c>
      <c r="R13" t="e">
        <f>AND(#REF!,"AAAAAH3XvxE=")</f>
        <v>#REF!</v>
      </c>
      <c r="S13" t="e">
        <f>AND(#REF!,"AAAAAH3XvxI=")</f>
        <v>#REF!</v>
      </c>
      <c r="T13" t="e">
        <f>AND(#REF!,"AAAAAH3XvxM=")</f>
        <v>#REF!</v>
      </c>
      <c r="U13" t="e">
        <f>AND(#REF!,"AAAAAH3XvxQ=")</f>
        <v>#REF!</v>
      </c>
      <c r="V13" t="e">
        <f>AND(#REF!,"AAAAAH3XvxU=")</f>
        <v>#REF!</v>
      </c>
      <c r="W13" t="e">
        <f>AND(#REF!,"AAAAAH3XvxY=")</f>
        <v>#REF!</v>
      </c>
      <c r="X13" t="e">
        <f>IF(#REF!,"AAAAAH3Xvxc=",0)</f>
        <v>#REF!</v>
      </c>
      <c r="Y13" t="e">
        <f>AND(#REF!,"AAAAAH3Xvxg=")</f>
        <v>#REF!</v>
      </c>
      <c r="Z13" t="e">
        <f>AND(#REF!,"AAAAAH3Xvxk=")</f>
        <v>#REF!</v>
      </c>
      <c r="AA13" t="e">
        <f>AND(#REF!,"AAAAAH3Xvxo=")</f>
        <v>#REF!</v>
      </c>
      <c r="AB13" t="e">
        <f>AND(#REF!,"AAAAAH3Xvxs=")</f>
        <v>#REF!</v>
      </c>
      <c r="AC13" t="e">
        <f>AND(#REF!,"AAAAAH3Xvxw=")</f>
        <v>#REF!</v>
      </c>
      <c r="AD13" t="e">
        <f>AND(#REF!,"AAAAAH3Xvx0=")</f>
        <v>#REF!</v>
      </c>
      <c r="AE13" t="e">
        <f>AND(#REF!,"AAAAAH3Xvx4=")</f>
        <v>#REF!</v>
      </c>
      <c r="AF13" t="e">
        <f>AND(#REF!,"AAAAAH3Xvx8=")</f>
        <v>#REF!</v>
      </c>
      <c r="AG13" t="e">
        <f>AND(#REF!,"AAAAAH3XvyA=")</f>
        <v>#REF!</v>
      </c>
      <c r="AH13" t="e">
        <f>AND(#REF!,"AAAAAH3XvyE=")</f>
        <v>#REF!</v>
      </c>
      <c r="AI13" t="e">
        <f>AND(#REF!,"AAAAAH3XvyI=")</f>
        <v>#REF!</v>
      </c>
      <c r="AJ13" t="e">
        <f>AND(#REF!,"AAAAAH3XvyM=")</f>
        <v>#REF!</v>
      </c>
      <c r="AK13" t="e">
        <f>AND(#REF!,"AAAAAH3XvyQ=")</f>
        <v>#REF!</v>
      </c>
      <c r="AL13" t="e">
        <f>AND(#REF!,"AAAAAH3XvyU=")</f>
        <v>#REF!</v>
      </c>
      <c r="AM13" t="e">
        <f>AND(#REF!,"AAAAAH3XvyY=")</f>
        <v>#REF!</v>
      </c>
      <c r="AN13" t="e">
        <f>AND(#REF!,"AAAAAH3Xvyc=")</f>
        <v>#REF!</v>
      </c>
      <c r="AO13" t="e">
        <f>AND(#REF!,"AAAAAH3Xvyg=")</f>
        <v>#REF!</v>
      </c>
      <c r="AP13" t="e">
        <f>AND(#REF!,"AAAAAH3Xvyk=")</f>
        <v>#REF!</v>
      </c>
      <c r="AQ13" t="e">
        <f>AND(#REF!,"AAAAAH3Xvyo=")</f>
        <v>#REF!</v>
      </c>
      <c r="AR13" t="e">
        <f>AND(#REF!,"AAAAAH3Xvys=")</f>
        <v>#REF!</v>
      </c>
      <c r="AS13" t="e">
        <f>AND(#REF!,"AAAAAH3Xvyw=")</f>
        <v>#REF!</v>
      </c>
      <c r="AT13" t="e">
        <f>AND(#REF!,"AAAAAH3Xvy0=")</f>
        <v>#REF!</v>
      </c>
      <c r="AU13" t="e">
        <f>AND(#REF!,"AAAAAH3Xvy4=")</f>
        <v>#REF!</v>
      </c>
      <c r="AV13" t="e">
        <f>IF(#REF!,"AAAAAH3Xvy8=",0)</f>
        <v>#REF!</v>
      </c>
      <c r="AW13" t="e">
        <f>AND(#REF!,"AAAAAH3XvzA=")</f>
        <v>#REF!</v>
      </c>
      <c r="AX13" t="e">
        <f>AND(#REF!,"AAAAAH3XvzE=")</f>
        <v>#REF!</v>
      </c>
      <c r="AY13" t="e">
        <f>AND(#REF!,"AAAAAH3XvzI=")</f>
        <v>#REF!</v>
      </c>
      <c r="AZ13" t="e">
        <f>AND(#REF!,"AAAAAH3XvzM=")</f>
        <v>#REF!</v>
      </c>
      <c r="BA13" t="e">
        <f>AND(#REF!,"AAAAAH3XvzQ=")</f>
        <v>#REF!</v>
      </c>
      <c r="BB13" t="e">
        <f>AND(#REF!,"AAAAAH3XvzU=")</f>
        <v>#REF!</v>
      </c>
      <c r="BC13" t="e">
        <f>AND(#REF!,"AAAAAH3XvzY=")</f>
        <v>#REF!</v>
      </c>
      <c r="BD13" t="e">
        <f>AND(#REF!,"AAAAAH3Xvzc=")</f>
        <v>#REF!</v>
      </c>
      <c r="BE13" t="e">
        <f>AND(#REF!,"AAAAAH3Xvzg=")</f>
        <v>#REF!</v>
      </c>
      <c r="BF13" t="e">
        <f>AND(#REF!,"AAAAAH3Xvzk=")</f>
        <v>#REF!</v>
      </c>
      <c r="BG13" t="e">
        <f>AND(#REF!,"AAAAAH3Xvzo=")</f>
        <v>#REF!</v>
      </c>
      <c r="BH13" t="e">
        <f>AND(#REF!,"AAAAAH3Xvzs=")</f>
        <v>#REF!</v>
      </c>
      <c r="BI13" t="e">
        <f>AND(#REF!,"AAAAAH3Xvzw=")</f>
        <v>#REF!</v>
      </c>
      <c r="BJ13" t="e">
        <f>AND(#REF!,"AAAAAH3Xvz0=")</f>
        <v>#REF!</v>
      </c>
      <c r="BK13" t="e">
        <f>AND(#REF!,"AAAAAH3Xvz4=")</f>
        <v>#REF!</v>
      </c>
      <c r="BL13" t="e">
        <f>AND(#REF!,"AAAAAH3Xvz8=")</f>
        <v>#REF!</v>
      </c>
      <c r="BM13" t="e">
        <f>AND(#REF!,"AAAAAH3Xv0A=")</f>
        <v>#REF!</v>
      </c>
      <c r="BN13" t="e">
        <f>AND(#REF!,"AAAAAH3Xv0E=")</f>
        <v>#REF!</v>
      </c>
      <c r="BO13" t="e">
        <f>AND(#REF!,"AAAAAH3Xv0I=")</f>
        <v>#REF!</v>
      </c>
      <c r="BP13" t="e">
        <f>AND(#REF!,"AAAAAH3Xv0M=")</f>
        <v>#REF!</v>
      </c>
      <c r="BQ13" t="e">
        <f>AND(#REF!,"AAAAAH3Xv0Q=")</f>
        <v>#REF!</v>
      </c>
      <c r="BR13" t="e">
        <f>AND(#REF!,"AAAAAH3Xv0U=")</f>
        <v>#REF!</v>
      </c>
      <c r="BS13" t="e">
        <f>AND(#REF!,"AAAAAH3Xv0Y=")</f>
        <v>#REF!</v>
      </c>
      <c r="BT13" t="e">
        <f>IF(#REF!,"AAAAAH3Xv0c=",0)</f>
        <v>#REF!</v>
      </c>
      <c r="BU13" t="e">
        <f>AND(#REF!,"AAAAAH3Xv0g=")</f>
        <v>#REF!</v>
      </c>
      <c r="BV13" t="e">
        <f>AND(#REF!,"AAAAAH3Xv0k=")</f>
        <v>#REF!</v>
      </c>
      <c r="BW13" t="e">
        <f>AND(#REF!,"AAAAAH3Xv0o=")</f>
        <v>#REF!</v>
      </c>
      <c r="BX13" t="e">
        <f>AND(#REF!,"AAAAAH3Xv0s=")</f>
        <v>#REF!</v>
      </c>
      <c r="BY13" t="e">
        <f>AND(#REF!,"AAAAAH3Xv0w=")</f>
        <v>#REF!</v>
      </c>
      <c r="BZ13" t="e">
        <f>AND(#REF!,"AAAAAH3Xv00=")</f>
        <v>#REF!</v>
      </c>
      <c r="CA13" t="e">
        <f>AND(#REF!,"AAAAAH3Xv04=")</f>
        <v>#REF!</v>
      </c>
      <c r="CB13" t="e">
        <f>AND(#REF!,"AAAAAH3Xv08=")</f>
        <v>#REF!</v>
      </c>
      <c r="CC13" t="e">
        <f>AND(#REF!,"AAAAAH3Xv1A=")</f>
        <v>#REF!</v>
      </c>
      <c r="CD13" t="e">
        <f>AND(#REF!,"AAAAAH3Xv1E=")</f>
        <v>#REF!</v>
      </c>
      <c r="CE13" t="e">
        <f>AND(#REF!,"AAAAAH3Xv1I=")</f>
        <v>#REF!</v>
      </c>
      <c r="CF13" t="e">
        <f>AND(#REF!,"AAAAAH3Xv1M=")</f>
        <v>#REF!</v>
      </c>
      <c r="CG13" t="e">
        <f>AND(#REF!,"AAAAAH3Xv1Q=")</f>
        <v>#REF!</v>
      </c>
      <c r="CH13" t="e">
        <f>AND(#REF!,"AAAAAH3Xv1U=")</f>
        <v>#REF!</v>
      </c>
      <c r="CI13" t="e">
        <f>AND(#REF!,"AAAAAH3Xv1Y=")</f>
        <v>#REF!</v>
      </c>
      <c r="CJ13" t="e">
        <f>AND(#REF!,"AAAAAH3Xv1c=")</f>
        <v>#REF!</v>
      </c>
      <c r="CK13" t="e">
        <f>AND(#REF!,"AAAAAH3Xv1g=")</f>
        <v>#REF!</v>
      </c>
      <c r="CL13" t="e">
        <f>AND(#REF!,"AAAAAH3Xv1k=")</f>
        <v>#REF!</v>
      </c>
      <c r="CM13" t="e">
        <f>AND(#REF!,"AAAAAH3Xv1o=")</f>
        <v>#REF!</v>
      </c>
      <c r="CN13" t="e">
        <f>AND(#REF!,"AAAAAH3Xv1s=")</f>
        <v>#REF!</v>
      </c>
      <c r="CO13" t="e">
        <f>AND(#REF!,"AAAAAH3Xv1w=")</f>
        <v>#REF!</v>
      </c>
      <c r="CP13" t="e">
        <f>AND(#REF!,"AAAAAH3Xv10=")</f>
        <v>#REF!</v>
      </c>
      <c r="CQ13" t="e">
        <f>AND(#REF!,"AAAAAH3Xv14=")</f>
        <v>#REF!</v>
      </c>
      <c r="CR13" t="e">
        <f>IF(#REF!,"AAAAAH3Xv18=",0)</f>
        <v>#REF!</v>
      </c>
      <c r="CS13" t="e">
        <f>AND(#REF!,"AAAAAH3Xv2A=")</f>
        <v>#REF!</v>
      </c>
      <c r="CT13" t="e">
        <f>AND(#REF!,"AAAAAH3Xv2E=")</f>
        <v>#REF!</v>
      </c>
      <c r="CU13" t="e">
        <f>AND(#REF!,"AAAAAH3Xv2I=")</f>
        <v>#REF!</v>
      </c>
      <c r="CV13" t="e">
        <f>AND(#REF!,"AAAAAH3Xv2M=")</f>
        <v>#REF!</v>
      </c>
      <c r="CW13" t="e">
        <f>AND(#REF!,"AAAAAH3Xv2Q=")</f>
        <v>#REF!</v>
      </c>
      <c r="CX13" t="e">
        <f>AND(#REF!,"AAAAAH3Xv2U=")</f>
        <v>#REF!</v>
      </c>
      <c r="CY13" t="e">
        <f>AND(#REF!,"AAAAAH3Xv2Y=")</f>
        <v>#REF!</v>
      </c>
      <c r="CZ13" t="e">
        <f>AND(#REF!,"AAAAAH3Xv2c=")</f>
        <v>#REF!</v>
      </c>
      <c r="DA13" t="e">
        <f>AND(#REF!,"AAAAAH3Xv2g=")</f>
        <v>#REF!</v>
      </c>
      <c r="DB13" t="e">
        <f>AND(#REF!,"AAAAAH3Xv2k=")</f>
        <v>#REF!</v>
      </c>
      <c r="DC13" t="e">
        <f>AND(#REF!,"AAAAAH3Xv2o=")</f>
        <v>#REF!</v>
      </c>
      <c r="DD13" t="e">
        <f>AND(#REF!,"AAAAAH3Xv2s=")</f>
        <v>#REF!</v>
      </c>
      <c r="DE13" t="e">
        <f>AND(#REF!,"AAAAAH3Xv2w=")</f>
        <v>#REF!</v>
      </c>
      <c r="DF13" t="e">
        <f>AND(#REF!,"AAAAAH3Xv20=")</f>
        <v>#REF!</v>
      </c>
      <c r="DG13" t="e">
        <f>AND(#REF!,"AAAAAH3Xv24=")</f>
        <v>#REF!</v>
      </c>
      <c r="DH13" t="e">
        <f>AND(#REF!,"AAAAAH3Xv28=")</f>
        <v>#REF!</v>
      </c>
      <c r="DI13" t="e">
        <f>AND(#REF!,"AAAAAH3Xv3A=")</f>
        <v>#REF!</v>
      </c>
      <c r="DJ13" t="e">
        <f>AND(#REF!,"AAAAAH3Xv3E=")</f>
        <v>#REF!</v>
      </c>
      <c r="DK13" t="e">
        <f>AND(#REF!,"AAAAAH3Xv3I=")</f>
        <v>#REF!</v>
      </c>
      <c r="DL13" t="e">
        <f>AND(#REF!,"AAAAAH3Xv3M=")</f>
        <v>#REF!</v>
      </c>
      <c r="DM13" t="e">
        <f>AND(#REF!,"AAAAAH3Xv3Q=")</f>
        <v>#REF!</v>
      </c>
      <c r="DN13" t="e">
        <f>AND(#REF!,"AAAAAH3Xv3U=")</f>
        <v>#REF!</v>
      </c>
      <c r="DO13" t="e">
        <f>AND(#REF!,"AAAAAH3Xv3Y=")</f>
        <v>#REF!</v>
      </c>
      <c r="DP13" t="e">
        <f>IF(#REF!,"AAAAAH3Xv3c=",0)</f>
        <v>#REF!</v>
      </c>
      <c r="DQ13" t="e">
        <f>AND(#REF!,"AAAAAH3Xv3g=")</f>
        <v>#REF!</v>
      </c>
      <c r="DR13" t="e">
        <f>AND(#REF!,"AAAAAH3Xv3k=")</f>
        <v>#REF!</v>
      </c>
      <c r="DS13" t="e">
        <f>AND(#REF!,"AAAAAH3Xv3o=")</f>
        <v>#REF!</v>
      </c>
      <c r="DT13" t="e">
        <f>AND(#REF!,"AAAAAH3Xv3s=")</f>
        <v>#REF!</v>
      </c>
      <c r="DU13" t="e">
        <f>AND(#REF!,"AAAAAH3Xv3w=")</f>
        <v>#REF!</v>
      </c>
      <c r="DV13" t="e">
        <f>AND(#REF!,"AAAAAH3Xv30=")</f>
        <v>#REF!</v>
      </c>
      <c r="DW13" t="e">
        <f>AND(#REF!,"AAAAAH3Xv34=")</f>
        <v>#REF!</v>
      </c>
      <c r="DX13" t="e">
        <f>AND(#REF!,"AAAAAH3Xv38=")</f>
        <v>#REF!</v>
      </c>
      <c r="DY13" t="e">
        <f>AND(#REF!,"AAAAAH3Xv4A=")</f>
        <v>#REF!</v>
      </c>
      <c r="DZ13" t="e">
        <f>AND(#REF!,"AAAAAH3Xv4E=")</f>
        <v>#REF!</v>
      </c>
      <c r="EA13" t="e">
        <f>AND(#REF!,"AAAAAH3Xv4I=")</f>
        <v>#REF!</v>
      </c>
      <c r="EB13" t="e">
        <f>AND(#REF!,"AAAAAH3Xv4M=")</f>
        <v>#REF!</v>
      </c>
      <c r="EC13" t="e">
        <f>AND(#REF!,"AAAAAH3Xv4Q=")</f>
        <v>#REF!</v>
      </c>
      <c r="ED13" t="e">
        <f>AND(#REF!,"AAAAAH3Xv4U=")</f>
        <v>#REF!</v>
      </c>
      <c r="EE13" t="e">
        <f>AND(#REF!,"AAAAAH3Xv4Y=")</f>
        <v>#REF!</v>
      </c>
      <c r="EF13" t="e">
        <f>AND(#REF!,"AAAAAH3Xv4c=")</f>
        <v>#REF!</v>
      </c>
      <c r="EG13" t="e">
        <f>AND(#REF!,"AAAAAH3Xv4g=")</f>
        <v>#REF!</v>
      </c>
      <c r="EH13" t="e">
        <f>AND(#REF!,"AAAAAH3Xv4k=")</f>
        <v>#REF!</v>
      </c>
      <c r="EI13" t="e">
        <f>AND(#REF!,"AAAAAH3Xv4o=")</f>
        <v>#REF!</v>
      </c>
      <c r="EJ13" t="e">
        <f>AND(#REF!,"AAAAAH3Xv4s=")</f>
        <v>#REF!</v>
      </c>
      <c r="EK13" t="e">
        <f>AND(#REF!,"AAAAAH3Xv4w=")</f>
        <v>#REF!</v>
      </c>
      <c r="EL13" t="e">
        <f>AND(#REF!,"AAAAAH3Xv40=")</f>
        <v>#REF!</v>
      </c>
      <c r="EM13" t="e">
        <f>AND(#REF!,"AAAAAH3Xv44=")</f>
        <v>#REF!</v>
      </c>
      <c r="EN13" t="e">
        <f>IF(#REF!,"AAAAAH3Xv48=",0)</f>
        <v>#REF!</v>
      </c>
      <c r="EO13" t="e">
        <f>AND(#REF!,"AAAAAH3Xv5A=")</f>
        <v>#REF!</v>
      </c>
      <c r="EP13" t="e">
        <f>AND(#REF!,"AAAAAH3Xv5E=")</f>
        <v>#REF!</v>
      </c>
      <c r="EQ13" t="e">
        <f>AND(#REF!,"AAAAAH3Xv5I=")</f>
        <v>#REF!</v>
      </c>
      <c r="ER13" t="e">
        <f>AND(#REF!,"AAAAAH3Xv5M=")</f>
        <v>#REF!</v>
      </c>
      <c r="ES13" t="e">
        <f>AND(#REF!,"AAAAAH3Xv5Q=")</f>
        <v>#REF!</v>
      </c>
      <c r="ET13" t="e">
        <f>AND(#REF!,"AAAAAH3Xv5U=")</f>
        <v>#REF!</v>
      </c>
      <c r="EU13" t="e">
        <f>AND(#REF!,"AAAAAH3Xv5Y=")</f>
        <v>#REF!</v>
      </c>
      <c r="EV13" t="e">
        <f>AND(#REF!,"AAAAAH3Xv5c=")</f>
        <v>#REF!</v>
      </c>
      <c r="EW13" t="e">
        <f>AND(#REF!,"AAAAAH3Xv5g=")</f>
        <v>#REF!</v>
      </c>
      <c r="EX13" t="e">
        <f>AND(#REF!,"AAAAAH3Xv5k=")</f>
        <v>#REF!</v>
      </c>
      <c r="EY13" t="e">
        <f>AND(#REF!,"AAAAAH3Xv5o=")</f>
        <v>#REF!</v>
      </c>
      <c r="EZ13" t="e">
        <f>AND(#REF!,"AAAAAH3Xv5s=")</f>
        <v>#REF!</v>
      </c>
      <c r="FA13" t="e">
        <f>AND(#REF!,"AAAAAH3Xv5w=")</f>
        <v>#REF!</v>
      </c>
      <c r="FB13" t="e">
        <f>AND(#REF!,"AAAAAH3Xv50=")</f>
        <v>#REF!</v>
      </c>
      <c r="FC13" t="e">
        <f>AND(#REF!,"AAAAAH3Xv54=")</f>
        <v>#REF!</v>
      </c>
      <c r="FD13" t="e">
        <f>AND(#REF!,"AAAAAH3Xv58=")</f>
        <v>#REF!</v>
      </c>
      <c r="FE13" t="e">
        <f>AND(#REF!,"AAAAAH3Xv6A=")</f>
        <v>#REF!</v>
      </c>
      <c r="FF13" t="e">
        <f>AND(#REF!,"AAAAAH3Xv6E=")</f>
        <v>#REF!</v>
      </c>
      <c r="FG13" t="e">
        <f>AND(#REF!,"AAAAAH3Xv6I=")</f>
        <v>#REF!</v>
      </c>
      <c r="FH13" t="e">
        <f>AND(#REF!,"AAAAAH3Xv6M=")</f>
        <v>#REF!</v>
      </c>
      <c r="FI13" t="e">
        <f>AND(#REF!,"AAAAAH3Xv6Q=")</f>
        <v>#REF!</v>
      </c>
      <c r="FJ13" t="e">
        <f>AND(#REF!,"AAAAAH3Xv6U=")</f>
        <v>#REF!</v>
      </c>
      <c r="FK13" t="e">
        <f>AND(#REF!,"AAAAAH3Xv6Y=")</f>
        <v>#REF!</v>
      </c>
      <c r="FL13" t="e">
        <f>IF(#REF!,"AAAAAH3Xv6c=",0)</f>
        <v>#REF!</v>
      </c>
      <c r="FM13" t="e">
        <f>AND(#REF!,"AAAAAH3Xv6g=")</f>
        <v>#REF!</v>
      </c>
      <c r="FN13" t="e">
        <f>AND(#REF!,"AAAAAH3Xv6k=")</f>
        <v>#REF!</v>
      </c>
      <c r="FO13" t="e">
        <f>AND(#REF!,"AAAAAH3Xv6o=")</f>
        <v>#REF!</v>
      </c>
      <c r="FP13" t="e">
        <f>AND(#REF!,"AAAAAH3Xv6s=")</f>
        <v>#REF!</v>
      </c>
      <c r="FQ13" t="e">
        <f>AND(#REF!,"AAAAAH3Xv6w=")</f>
        <v>#REF!</v>
      </c>
      <c r="FR13" t="e">
        <f>AND(#REF!,"AAAAAH3Xv60=")</f>
        <v>#REF!</v>
      </c>
      <c r="FS13" t="e">
        <f>AND(#REF!,"AAAAAH3Xv64=")</f>
        <v>#REF!</v>
      </c>
      <c r="FT13" t="e">
        <f>AND(#REF!,"AAAAAH3Xv68=")</f>
        <v>#REF!</v>
      </c>
      <c r="FU13" t="e">
        <f>AND(#REF!,"AAAAAH3Xv7A=")</f>
        <v>#REF!</v>
      </c>
      <c r="FV13" t="e">
        <f>AND(#REF!,"AAAAAH3Xv7E=")</f>
        <v>#REF!</v>
      </c>
      <c r="FW13" t="e">
        <f>AND(#REF!,"AAAAAH3Xv7I=")</f>
        <v>#REF!</v>
      </c>
      <c r="FX13" t="e">
        <f>AND(#REF!,"AAAAAH3Xv7M=")</f>
        <v>#REF!</v>
      </c>
      <c r="FY13" t="e">
        <f>AND(#REF!,"AAAAAH3Xv7Q=")</f>
        <v>#REF!</v>
      </c>
      <c r="FZ13" t="e">
        <f>AND(#REF!,"AAAAAH3Xv7U=")</f>
        <v>#REF!</v>
      </c>
      <c r="GA13" t="e">
        <f>AND(#REF!,"AAAAAH3Xv7Y=")</f>
        <v>#REF!</v>
      </c>
      <c r="GB13" t="e">
        <f>AND(#REF!,"AAAAAH3Xv7c=")</f>
        <v>#REF!</v>
      </c>
      <c r="GC13" t="e">
        <f>AND(#REF!,"AAAAAH3Xv7g=")</f>
        <v>#REF!</v>
      </c>
      <c r="GD13" t="e">
        <f>AND(#REF!,"AAAAAH3Xv7k=")</f>
        <v>#REF!</v>
      </c>
      <c r="GE13" t="e">
        <f>AND(#REF!,"AAAAAH3Xv7o=")</f>
        <v>#REF!</v>
      </c>
      <c r="GF13" t="e">
        <f>AND(#REF!,"AAAAAH3Xv7s=")</f>
        <v>#REF!</v>
      </c>
      <c r="GG13" t="e">
        <f>AND(#REF!,"AAAAAH3Xv7w=")</f>
        <v>#REF!</v>
      </c>
      <c r="GH13" t="e">
        <f>AND(#REF!,"AAAAAH3Xv70=")</f>
        <v>#REF!</v>
      </c>
      <c r="GI13" t="e">
        <f>AND(#REF!,"AAAAAH3Xv74=")</f>
        <v>#REF!</v>
      </c>
      <c r="GJ13" t="e">
        <f>IF(#REF!,"AAAAAH3Xv78=",0)</f>
        <v>#REF!</v>
      </c>
      <c r="GK13" t="e">
        <f>AND(#REF!,"AAAAAH3Xv8A=")</f>
        <v>#REF!</v>
      </c>
      <c r="GL13" t="e">
        <f>AND(#REF!,"AAAAAH3Xv8E=")</f>
        <v>#REF!</v>
      </c>
      <c r="GM13" t="e">
        <f>AND(#REF!,"AAAAAH3Xv8I=")</f>
        <v>#REF!</v>
      </c>
      <c r="GN13" t="e">
        <f>AND(#REF!,"AAAAAH3Xv8M=")</f>
        <v>#REF!</v>
      </c>
      <c r="GO13" t="e">
        <f>AND(#REF!,"AAAAAH3Xv8Q=")</f>
        <v>#REF!</v>
      </c>
      <c r="GP13" t="e">
        <f>AND(#REF!,"AAAAAH3Xv8U=")</f>
        <v>#REF!</v>
      </c>
      <c r="GQ13" t="e">
        <f>AND(#REF!,"AAAAAH3Xv8Y=")</f>
        <v>#REF!</v>
      </c>
      <c r="GR13" t="e">
        <f>AND(#REF!,"AAAAAH3Xv8c=")</f>
        <v>#REF!</v>
      </c>
      <c r="GS13" t="e">
        <f>AND(#REF!,"AAAAAH3Xv8g=")</f>
        <v>#REF!</v>
      </c>
      <c r="GT13" t="e">
        <f>AND(#REF!,"AAAAAH3Xv8k=")</f>
        <v>#REF!</v>
      </c>
      <c r="GU13" t="e">
        <f>AND(#REF!,"AAAAAH3Xv8o=")</f>
        <v>#REF!</v>
      </c>
      <c r="GV13" t="e">
        <f>AND(#REF!,"AAAAAH3Xv8s=")</f>
        <v>#REF!</v>
      </c>
      <c r="GW13" t="e">
        <f>AND(#REF!,"AAAAAH3Xv8w=")</f>
        <v>#REF!</v>
      </c>
      <c r="GX13" t="e">
        <f>AND(#REF!,"AAAAAH3Xv80=")</f>
        <v>#REF!</v>
      </c>
      <c r="GY13" t="e">
        <f>AND(#REF!,"AAAAAH3Xv84=")</f>
        <v>#REF!</v>
      </c>
      <c r="GZ13" t="e">
        <f>AND(#REF!,"AAAAAH3Xv88=")</f>
        <v>#REF!</v>
      </c>
      <c r="HA13" t="e">
        <f>AND(#REF!,"AAAAAH3Xv9A=")</f>
        <v>#REF!</v>
      </c>
      <c r="HB13" t="e">
        <f>AND(#REF!,"AAAAAH3Xv9E=")</f>
        <v>#REF!</v>
      </c>
      <c r="HC13" t="e">
        <f>AND(#REF!,"AAAAAH3Xv9I=")</f>
        <v>#REF!</v>
      </c>
      <c r="HD13" t="e">
        <f>AND(#REF!,"AAAAAH3Xv9M=")</f>
        <v>#REF!</v>
      </c>
      <c r="HE13" t="e">
        <f>AND(#REF!,"AAAAAH3Xv9Q=")</f>
        <v>#REF!</v>
      </c>
      <c r="HF13" t="e">
        <f>AND(#REF!,"AAAAAH3Xv9U=")</f>
        <v>#REF!</v>
      </c>
      <c r="HG13" t="e">
        <f>AND(#REF!,"AAAAAH3Xv9Y=")</f>
        <v>#REF!</v>
      </c>
      <c r="HH13" t="e">
        <f>IF(#REF!,"AAAAAH3Xv9c=",0)</f>
        <v>#REF!</v>
      </c>
      <c r="HI13" t="e">
        <f>AND(#REF!,"AAAAAH3Xv9g=")</f>
        <v>#REF!</v>
      </c>
      <c r="HJ13" t="e">
        <f>AND(#REF!,"AAAAAH3Xv9k=")</f>
        <v>#REF!</v>
      </c>
      <c r="HK13" t="e">
        <f>AND(#REF!,"AAAAAH3Xv9o=")</f>
        <v>#REF!</v>
      </c>
      <c r="HL13" t="e">
        <f>AND(#REF!,"AAAAAH3Xv9s=")</f>
        <v>#REF!</v>
      </c>
      <c r="HM13" t="e">
        <f>AND(#REF!,"AAAAAH3Xv9w=")</f>
        <v>#REF!</v>
      </c>
      <c r="HN13" t="e">
        <f>AND(#REF!,"AAAAAH3Xv90=")</f>
        <v>#REF!</v>
      </c>
      <c r="HO13" t="e">
        <f>AND(#REF!,"AAAAAH3Xv94=")</f>
        <v>#REF!</v>
      </c>
      <c r="HP13" t="e">
        <f>AND(#REF!,"AAAAAH3Xv98=")</f>
        <v>#REF!</v>
      </c>
      <c r="HQ13" t="e">
        <f>AND(#REF!,"AAAAAH3Xv+A=")</f>
        <v>#REF!</v>
      </c>
      <c r="HR13" t="e">
        <f>AND(#REF!,"AAAAAH3Xv+E=")</f>
        <v>#REF!</v>
      </c>
      <c r="HS13" t="e">
        <f>AND(#REF!,"AAAAAH3Xv+I=")</f>
        <v>#REF!</v>
      </c>
      <c r="HT13" t="e">
        <f>AND(#REF!,"AAAAAH3Xv+M=")</f>
        <v>#REF!</v>
      </c>
      <c r="HU13" t="e">
        <f>AND(#REF!,"AAAAAH3Xv+Q=")</f>
        <v>#REF!</v>
      </c>
      <c r="HV13" t="e">
        <f>AND(#REF!,"AAAAAH3Xv+U=")</f>
        <v>#REF!</v>
      </c>
      <c r="HW13" t="e">
        <f>AND(#REF!,"AAAAAH3Xv+Y=")</f>
        <v>#REF!</v>
      </c>
      <c r="HX13" t="e">
        <f>AND(#REF!,"AAAAAH3Xv+c=")</f>
        <v>#REF!</v>
      </c>
      <c r="HY13" t="e">
        <f>AND(#REF!,"AAAAAH3Xv+g=")</f>
        <v>#REF!</v>
      </c>
      <c r="HZ13" t="e">
        <f>AND(#REF!,"AAAAAH3Xv+k=")</f>
        <v>#REF!</v>
      </c>
      <c r="IA13" t="e">
        <f>AND(#REF!,"AAAAAH3Xv+o=")</f>
        <v>#REF!</v>
      </c>
      <c r="IB13" t="e">
        <f>AND(#REF!,"AAAAAH3Xv+s=")</f>
        <v>#REF!</v>
      </c>
      <c r="IC13" t="e">
        <f>AND(#REF!,"AAAAAH3Xv+w=")</f>
        <v>#REF!</v>
      </c>
      <c r="ID13" t="e">
        <f>AND(#REF!,"AAAAAH3Xv+0=")</f>
        <v>#REF!</v>
      </c>
      <c r="IE13" t="e">
        <f>AND(#REF!,"AAAAAH3Xv+4=")</f>
        <v>#REF!</v>
      </c>
      <c r="IF13" t="e">
        <f>IF(#REF!,"AAAAAH3Xv+8=",0)</f>
        <v>#REF!</v>
      </c>
      <c r="IG13" t="e">
        <f>AND(#REF!,"AAAAAH3Xv/A=")</f>
        <v>#REF!</v>
      </c>
      <c r="IH13" t="e">
        <f>AND(#REF!,"AAAAAH3Xv/E=")</f>
        <v>#REF!</v>
      </c>
      <c r="II13" t="e">
        <f>AND(#REF!,"AAAAAH3Xv/I=")</f>
        <v>#REF!</v>
      </c>
      <c r="IJ13" t="e">
        <f>AND(#REF!,"AAAAAH3Xv/M=")</f>
        <v>#REF!</v>
      </c>
      <c r="IK13" t="e">
        <f>AND(#REF!,"AAAAAH3Xv/Q=")</f>
        <v>#REF!</v>
      </c>
      <c r="IL13" t="e">
        <f>AND(#REF!,"AAAAAH3Xv/U=")</f>
        <v>#REF!</v>
      </c>
      <c r="IM13" t="e">
        <f>AND(#REF!,"AAAAAH3Xv/Y=")</f>
        <v>#REF!</v>
      </c>
      <c r="IN13" t="e">
        <f>AND(#REF!,"AAAAAH3Xv/c=")</f>
        <v>#REF!</v>
      </c>
      <c r="IO13" t="e">
        <f>AND(#REF!,"AAAAAH3Xv/g=")</f>
        <v>#REF!</v>
      </c>
      <c r="IP13" t="e">
        <f>AND(#REF!,"AAAAAH3Xv/k=")</f>
        <v>#REF!</v>
      </c>
      <c r="IQ13" t="e">
        <f>AND(#REF!,"AAAAAH3Xv/o=")</f>
        <v>#REF!</v>
      </c>
      <c r="IR13" t="e">
        <f>AND(#REF!,"AAAAAH3Xv/s=")</f>
        <v>#REF!</v>
      </c>
      <c r="IS13" t="e">
        <f>AND(#REF!,"AAAAAH3Xv/w=")</f>
        <v>#REF!</v>
      </c>
      <c r="IT13" t="e">
        <f>AND(#REF!,"AAAAAH3Xv/0=")</f>
        <v>#REF!</v>
      </c>
      <c r="IU13" t="e">
        <f>AND(#REF!,"AAAAAH3Xv/4=")</f>
        <v>#REF!</v>
      </c>
      <c r="IV13" t="e">
        <f>AND(#REF!,"AAAAAH3Xv/8=")</f>
        <v>#REF!</v>
      </c>
    </row>
    <row r="14" spans="1:256" x14ac:dyDescent="0.25">
      <c r="A14" t="e">
        <f>AND(#REF!,"AAAAACF7+QA=")</f>
        <v>#REF!</v>
      </c>
      <c r="B14" t="e">
        <f>AND(#REF!,"AAAAACF7+QE=")</f>
        <v>#REF!</v>
      </c>
      <c r="C14" t="e">
        <f>AND(#REF!,"AAAAACF7+QI=")</f>
        <v>#REF!</v>
      </c>
      <c r="D14" t="e">
        <f>AND(#REF!,"AAAAACF7+QM=")</f>
        <v>#REF!</v>
      </c>
      <c r="E14" t="e">
        <f>AND(#REF!,"AAAAACF7+QQ=")</f>
        <v>#REF!</v>
      </c>
      <c r="F14" t="e">
        <f>AND(#REF!,"AAAAACF7+QU=")</f>
        <v>#REF!</v>
      </c>
      <c r="G14" t="e">
        <f>AND(#REF!,"AAAAACF7+QY=")</f>
        <v>#REF!</v>
      </c>
      <c r="H14" t="e">
        <f>IF(#REF!,"AAAAACF7+Qc=",0)</f>
        <v>#REF!</v>
      </c>
      <c r="I14" t="e">
        <f>AND(#REF!,"AAAAACF7+Qg=")</f>
        <v>#REF!</v>
      </c>
      <c r="J14" t="e">
        <f>AND(#REF!,"AAAAACF7+Qk=")</f>
        <v>#REF!</v>
      </c>
      <c r="K14" t="e">
        <f>AND(#REF!,"AAAAACF7+Qo=")</f>
        <v>#REF!</v>
      </c>
      <c r="L14" t="e">
        <f>AND(#REF!,"AAAAACF7+Qs=")</f>
        <v>#REF!</v>
      </c>
      <c r="M14" t="e">
        <f>AND(#REF!,"AAAAACF7+Qw=")</f>
        <v>#REF!</v>
      </c>
      <c r="N14" t="e">
        <f>AND(#REF!,"AAAAACF7+Q0=")</f>
        <v>#REF!</v>
      </c>
      <c r="O14" t="e">
        <f>AND(#REF!,"AAAAACF7+Q4=")</f>
        <v>#REF!</v>
      </c>
      <c r="P14" t="e">
        <f>AND(#REF!,"AAAAACF7+Q8=")</f>
        <v>#REF!</v>
      </c>
      <c r="Q14" t="e">
        <f>AND(#REF!,"AAAAACF7+RA=")</f>
        <v>#REF!</v>
      </c>
      <c r="R14" t="e">
        <f>AND(#REF!,"AAAAACF7+RE=")</f>
        <v>#REF!</v>
      </c>
      <c r="S14" t="e">
        <f>AND(#REF!,"AAAAACF7+RI=")</f>
        <v>#REF!</v>
      </c>
      <c r="T14" t="e">
        <f>AND(#REF!,"AAAAACF7+RM=")</f>
        <v>#REF!</v>
      </c>
      <c r="U14" t="e">
        <f>AND(#REF!,"AAAAACF7+RQ=")</f>
        <v>#REF!</v>
      </c>
      <c r="V14" t="e">
        <f>AND(#REF!,"AAAAACF7+RU=")</f>
        <v>#REF!</v>
      </c>
      <c r="W14" t="e">
        <f>AND(#REF!,"AAAAACF7+RY=")</f>
        <v>#REF!</v>
      </c>
      <c r="X14" t="e">
        <f>AND(#REF!,"AAAAACF7+Rc=")</f>
        <v>#REF!</v>
      </c>
      <c r="Y14" t="e">
        <f>AND(#REF!,"AAAAACF7+Rg=")</f>
        <v>#REF!</v>
      </c>
      <c r="Z14" t="e">
        <f>AND(#REF!,"AAAAACF7+Rk=")</f>
        <v>#REF!</v>
      </c>
      <c r="AA14" t="e">
        <f>AND(#REF!,"AAAAACF7+Ro=")</f>
        <v>#REF!</v>
      </c>
      <c r="AB14" t="e">
        <f>AND(#REF!,"AAAAACF7+Rs=")</f>
        <v>#REF!</v>
      </c>
      <c r="AC14" t="e">
        <f>AND(#REF!,"AAAAACF7+Rw=")</f>
        <v>#REF!</v>
      </c>
      <c r="AD14" t="e">
        <f>AND(#REF!,"AAAAACF7+R0=")</f>
        <v>#REF!</v>
      </c>
      <c r="AE14" t="e">
        <f>AND(#REF!,"AAAAACF7+R4=")</f>
        <v>#REF!</v>
      </c>
      <c r="AF14" t="e">
        <f>IF(#REF!,"AAAAACF7+R8=",0)</f>
        <v>#REF!</v>
      </c>
      <c r="AG14" t="e">
        <f>AND(#REF!,"AAAAACF7+SA=")</f>
        <v>#REF!</v>
      </c>
      <c r="AH14" t="e">
        <f>AND(#REF!,"AAAAACF7+SE=")</f>
        <v>#REF!</v>
      </c>
      <c r="AI14" t="e">
        <f>AND(#REF!,"AAAAACF7+SI=")</f>
        <v>#REF!</v>
      </c>
      <c r="AJ14" t="e">
        <f>AND(#REF!,"AAAAACF7+SM=")</f>
        <v>#REF!</v>
      </c>
      <c r="AK14" t="e">
        <f>AND(#REF!,"AAAAACF7+SQ=")</f>
        <v>#REF!</v>
      </c>
      <c r="AL14" t="e">
        <f>AND(#REF!,"AAAAACF7+SU=")</f>
        <v>#REF!</v>
      </c>
      <c r="AM14" t="e">
        <f>AND(#REF!,"AAAAACF7+SY=")</f>
        <v>#REF!</v>
      </c>
      <c r="AN14" t="e">
        <f>AND(#REF!,"AAAAACF7+Sc=")</f>
        <v>#REF!</v>
      </c>
      <c r="AO14" t="e">
        <f>AND(#REF!,"AAAAACF7+Sg=")</f>
        <v>#REF!</v>
      </c>
      <c r="AP14" t="e">
        <f>AND(#REF!,"AAAAACF7+Sk=")</f>
        <v>#REF!</v>
      </c>
      <c r="AQ14" t="e">
        <f>AND(#REF!,"AAAAACF7+So=")</f>
        <v>#REF!</v>
      </c>
      <c r="AR14" t="e">
        <f>AND(#REF!,"AAAAACF7+Ss=")</f>
        <v>#REF!</v>
      </c>
      <c r="AS14" t="e">
        <f>AND(#REF!,"AAAAACF7+Sw=")</f>
        <v>#REF!</v>
      </c>
      <c r="AT14" t="e">
        <f>AND(#REF!,"AAAAACF7+S0=")</f>
        <v>#REF!</v>
      </c>
      <c r="AU14" t="e">
        <f>AND(#REF!,"AAAAACF7+S4=")</f>
        <v>#REF!</v>
      </c>
      <c r="AV14" t="e">
        <f>AND(#REF!,"AAAAACF7+S8=")</f>
        <v>#REF!</v>
      </c>
      <c r="AW14" t="e">
        <f>AND(#REF!,"AAAAACF7+TA=")</f>
        <v>#REF!</v>
      </c>
      <c r="AX14" t="e">
        <f>AND(#REF!,"AAAAACF7+TE=")</f>
        <v>#REF!</v>
      </c>
      <c r="AY14" t="e">
        <f>AND(#REF!,"AAAAACF7+TI=")</f>
        <v>#REF!</v>
      </c>
      <c r="AZ14" t="e">
        <f>AND(#REF!,"AAAAACF7+TM=")</f>
        <v>#REF!</v>
      </c>
      <c r="BA14" t="e">
        <f>AND(#REF!,"AAAAACF7+TQ=")</f>
        <v>#REF!</v>
      </c>
      <c r="BB14" t="e">
        <f>AND(#REF!,"AAAAACF7+TU=")</f>
        <v>#REF!</v>
      </c>
      <c r="BC14" t="e">
        <f>AND(#REF!,"AAAAACF7+TY=")</f>
        <v>#REF!</v>
      </c>
      <c r="BD14" t="e">
        <f>IF(#REF!,"AAAAACF7+Tc=",0)</f>
        <v>#REF!</v>
      </c>
      <c r="BE14" t="e">
        <f>AND(#REF!,"AAAAACF7+Tg=")</f>
        <v>#REF!</v>
      </c>
      <c r="BF14" t="e">
        <f>AND(#REF!,"AAAAACF7+Tk=")</f>
        <v>#REF!</v>
      </c>
      <c r="BG14" t="e">
        <f>AND(#REF!,"AAAAACF7+To=")</f>
        <v>#REF!</v>
      </c>
      <c r="BH14" t="e">
        <f>AND(#REF!,"AAAAACF7+Ts=")</f>
        <v>#REF!</v>
      </c>
      <c r="BI14" t="e">
        <f>AND(#REF!,"AAAAACF7+Tw=")</f>
        <v>#REF!</v>
      </c>
      <c r="BJ14" t="e">
        <f>AND(#REF!,"AAAAACF7+T0=")</f>
        <v>#REF!</v>
      </c>
      <c r="BK14" t="e">
        <f>AND(#REF!,"AAAAACF7+T4=")</f>
        <v>#REF!</v>
      </c>
      <c r="BL14" t="e">
        <f>AND(#REF!,"AAAAACF7+T8=")</f>
        <v>#REF!</v>
      </c>
      <c r="BM14" t="e">
        <f>AND(#REF!,"AAAAACF7+UA=")</f>
        <v>#REF!</v>
      </c>
      <c r="BN14" t="e">
        <f>AND(#REF!,"AAAAACF7+UE=")</f>
        <v>#REF!</v>
      </c>
      <c r="BO14" t="e">
        <f>AND(#REF!,"AAAAACF7+UI=")</f>
        <v>#REF!</v>
      </c>
      <c r="BP14" t="e">
        <f>AND(#REF!,"AAAAACF7+UM=")</f>
        <v>#REF!</v>
      </c>
      <c r="BQ14" t="e">
        <f>AND(#REF!,"AAAAACF7+UQ=")</f>
        <v>#REF!</v>
      </c>
      <c r="BR14" t="e">
        <f>AND(#REF!,"AAAAACF7+UU=")</f>
        <v>#REF!</v>
      </c>
      <c r="BS14" t="e">
        <f>AND(#REF!,"AAAAACF7+UY=")</f>
        <v>#REF!</v>
      </c>
      <c r="BT14" t="e">
        <f>AND(#REF!,"AAAAACF7+Uc=")</f>
        <v>#REF!</v>
      </c>
      <c r="BU14" t="e">
        <f>AND(#REF!,"AAAAACF7+Ug=")</f>
        <v>#REF!</v>
      </c>
      <c r="BV14" t="e">
        <f>AND(#REF!,"AAAAACF7+Uk=")</f>
        <v>#REF!</v>
      </c>
      <c r="BW14" t="e">
        <f>AND(#REF!,"AAAAACF7+Uo=")</f>
        <v>#REF!</v>
      </c>
      <c r="BX14" t="e">
        <f>AND(#REF!,"AAAAACF7+Us=")</f>
        <v>#REF!</v>
      </c>
      <c r="BY14" t="e">
        <f>AND(#REF!,"AAAAACF7+Uw=")</f>
        <v>#REF!</v>
      </c>
      <c r="BZ14" t="e">
        <f>AND(#REF!,"AAAAACF7+U0=")</f>
        <v>#REF!</v>
      </c>
      <c r="CA14" t="e">
        <f>AND(#REF!,"AAAAACF7+U4=")</f>
        <v>#REF!</v>
      </c>
      <c r="CB14" t="e">
        <f>IF(#REF!,"AAAAACF7+U8=",0)</f>
        <v>#REF!</v>
      </c>
      <c r="CC14" t="e">
        <f>AND(#REF!,"AAAAACF7+VA=")</f>
        <v>#REF!</v>
      </c>
      <c r="CD14" t="e">
        <f>AND(#REF!,"AAAAACF7+VE=")</f>
        <v>#REF!</v>
      </c>
      <c r="CE14" t="e">
        <f>AND(#REF!,"AAAAACF7+VI=")</f>
        <v>#REF!</v>
      </c>
      <c r="CF14" t="e">
        <f>AND(#REF!,"AAAAACF7+VM=")</f>
        <v>#REF!</v>
      </c>
      <c r="CG14" t="e">
        <f>AND(#REF!,"AAAAACF7+VQ=")</f>
        <v>#REF!</v>
      </c>
      <c r="CH14" t="e">
        <f>AND(#REF!,"AAAAACF7+VU=")</f>
        <v>#REF!</v>
      </c>
      <c r="CI14" t="e">
        <f>AND(#REF!,"AAAAACF7+VY=")</f>
        <v>#REF!</v>
      </c>
      <c r="CJ14" t="e">
        <f>AND(#REF!,"AAAAACF7+Vc=")</f>
        <v>#REF!</v>
      </c>
      <c r="CK14" t="e">
        <f>AND(#REF!,"AAAAACF7+Vg=")</f>
        <v>#REF!</v>
      </c>
      <c r="CL14" t="e">
        <f>AND(#REF!,"AAAAACF7+Vk=")</f>
        <v>#REF!</v>
      </c>
      <c r="CM14" t="e">
        <f>AND(#REF!,"AAAAACF7+Vo=")</f>
        <v>#REF!</v>
      </c>
      <c r="CN14" t="e">
        <f>AND(#REF!,"AAAAACF7+Vs=")</f>
        <v>#REF!</v>
      </c>
      <c r="CO14" t="e">
        <f>AND(#REF!,"AAAAACF7+Vw=")</f>
        <v>#REF!</v>
      </c>
      <c r="CP14" t="e">
        <f>AND(#REF!,"AAAAACF7+V0=")</f>
        <v>#REF!</v>
      </c>
      <c r="CQ14" t="e">
        <f>AND(#REF!,"AAAAACF7+V4=")</f>
        <v>#REF!</v>
      </c>
      <c r="CR14" t="e">
        <f>AND(#REF!,"AAAAACF7+V8=")</f>
        <v>#REF!</v>
      </c>
      <c r="CS14" t="e">
        <f>AND(#REF!,"AAAAACF7+WA=")</f>
        <v>#REF!</v>
      </c>
      <c r="CT14" t="e">
        <f>AND(#REF!,"AAAAACF7+WE=")</f>
        <v>#REF!</v>
      </c>
      <c r="CU14" t="e">
        <f>AND(#REF!,"AAAAACF7+WI=")</f>
        <v>#REF!</v>
      </c>
      <c r="CV14" t="e">
        <f>AND(#REF!,"AAAAACF7+WM=")</f>
        <v>#REF!</v>
      </c>
      <c r="CW14" t="e">
        <f>AND(#REF!,"AAAAACF7+WQ=")</f>
        <v>#REF!</v>
      </c>
      <c r="CX14" t="e">
        <f>AND(#REF!,"AAAAACF7+WU=")</f>
        <v>#REF!</v>
      </c>
      <c r="CY14" t="e">
        <f>AND(#REF!,"AAAAACF7+WY=")</f>
        <v>#REF!</v>
      </c>
      <c r="CZ14" t="e">
        <f>IF(#REF!,"AAAAACF7+Wc=",0)</f>
        <v>#REF!</v>
      </c>
      <c r="DA14" t="e">
        <f>AND(#REF!,"AAAAACF7+Wg=")</f>
        <v>#REF!</v>
      </c>
      <c r="DB14" t="e">
        <f>AND(#REF!,"AAAAACF7+Wk=")</f>
        <v>#REF!</v>
      </c>
      <c r="DC14" t="e">
        <f>AND(#REF!,"AAAAACF7+Wo=")</f>
        <v>#REF!</v>
      </c>
      <c r="DD14" t="e">
        <f>AND(#REF!,"AAAAACF7+Ws=")</f>
        <v>#REF!</v>
      </c>
      <c r="DE14" t="e">
        <f>AND(#REF!,"AAAAACF7+Ww=")</f>
        <v>#REF!</v>
      </c>
      <c r="DF14" t="e">
        <f>AND(#REF!,"AAAAACF7+W0=")</f>
        <v>#REF!</v>
      </c>
      <c r="DG14" t="e">
        <f>AND(#REF!,"AAAAACF7+W4=")</f>
        <v>#REF!</v>
      </c>
      <c r="DH14" t="e">
        <f>AND(#REF!,"AAAAACF7+W8=")</f>
        <v>#REF!</v>
      </c>
      <c r="DI14" t="e">
        <f>AND(#REF!,"AAAAACF7+XA=")</f>
        <v>#REF!</v>
      </c>
      <c r="DJ14" t="e">
        <f>AND(#REF!,"AAAAACF7+XE=")</f>
        <v>#REF!</v>
      </c>
      <c r="DK14" t="e">
        <f>AND(#REF!,"AAAAACF7+XI=")</f>
        <v>#REF!</v>
      </c>
      <c r="DL14" t="e">
        <f>AND(#REF!,"AAAAACF7+XM=")</f>
        <v>#REF!</v>
      </c>
      <c r="DM14" t="e">
        <f>AND(#REF!,"AAAAACF7+XQ=")</f>
        <v>#REF!</v>
      </c>
      <c r="DN14" t="e">
        <f>AND(#REF!,"AAAAACF7+XU=")</f>
        <v>#REF!</v>
      </c>
      <c r="DO14" t="e">
        <f>AND(#REF!,"AAAAACF7+XY=")</f>
        <v>#REF!</v>
      </c>
      <c r="DP14" t="e">
        <f>AND(#REF!,"AAAAACF7+Xc=")</f>
        <v>#REF!</v>
      </c>
      <c r="DQ14" t="e">
        <f>AND(#REF!,"AAAAACF7+Xg=")</f>
        <v>#REF!</v>
      </c>
      <c r="DR14" t="e">
        <f>AND(#REF!,"AAAAACF7+Xk=")</f>
        <v>#REF!</v>
      </c>
      <c r="DS14" t="e">
        <f>AND(#REF!,"AAAAACF7+Xo=")</f>
        <v>#REF!</v>
      </c>
      <c r="DT14" t="e">
        <f>AND(#REF!,"AAAAACF7+Xs=")</f>
        <v>#REF!</v>
      </c>
      <c r="DU14" t="e">
        <f>AND(#REF!,"AAAAACF7+Xw=")</f>
        <v>#REF!</v>
      </c>
      <c r="DV14" t="e">
        <f>AND(#REF!,"AAAAACF7+X0=")</f>
        <v>#REF!</v>
      </c>
      <c r="DW14" t="e">
        <f>AND(#REF!,"AAAAACF7+X4=")</f>
        <v>#REF!</v>
      </c>
      <c r="DX14" t="e">
        <f>IF(#REF!,"AAAAACF7+X8=",0)</f>
        <v>#REF!</v>
      </c>
      <c r="DY14" t="e">
        <f>AND(#REF!,"AAAAACF7+YA=")</f>
        <v>#REF!</v>
      </c>
      <c r="DZ14" t="e">
        <f>AND(#REF!,"AAAAACF7+YE=")</f>
        <v>#REF!</v>
      </c>
      <c r="EA14" t="e">
        <f>AND(#REF!,"AAAAACF7+YI=")</f>
        <v>#REF!</v>
      </c>
      <c r="EB14" t="e">
        <f>AND(#REF!,"AAAAACF7+YM=")</f>
        <v>#REF!</v>
      </c>
      <c r="EC14" t="e">
        <f>AND(#REF!,"AAAAACF7+YQ=")</f>
        <v>#REF!</v>
      </c>
      <c r="ED14" t="e">
        <f>AND(#REF!,"AAAAACF7+YU=")</f>
        <v>#REF!</v>
      </c>
      <c r="EE14" t="e">
        <f>AND(#REF!,"AAAAACF7+YY=")</f>
        <v>#REF!</v>
      </c>
      <c r="EF14" t="e">
        <f>AND(#REF!,"AAAAACF7+Yc=")</f>
        <v>#REF!</v>
      </c>
      <c r="EG14" t="e">
        <f>AND(#REF!,"AAAAACF7+Yg=")</f>
        <v>#REF!</v>
      </c>
      <c r="EH14" t="e">
        <f>AND(#REF!,"AAAAACF7+Yk=")</f>
        <v>#REF!</v>
      </c>
      <c r="EI14" t="e">
        <f>AND(#REF!,"AAAAACF7+Yo=")</f>
        <v>#REF!</v>
      </c>
      <c r="EJ14" t="e">
        <f>AND(#REF!,"AAAAACF7+Ys=")</f>
        <v>#REF!</v>
      </c>
      <c r="EK14" t="e">
        <f>AND(#REF!,"AAAAACF7+Yw=")</f>
        <v>#REF!</v>
      </c>
      <c r="EL14" t="e">
        <f>AND(#REF!,"AAAAACF7+Y0=")</f>
        <v>#REF!</v>
      </c>
      <c r="EM14" t="e">
        <f>AND(#REF!,"AAAAACF7+Y4=")</f>
        <v>#REF!</v>
      </c>
      <c r="EN14" t="e">
        <f>AND(#REF!,"AAAAACF7+Y8=")</f>
        <v>#REF!</v>
      </c>
      <c r="EO14" t="e">
        <f>AND(#REF!,"AAAAACF7+ZA=")</f>
        <v>#REF!</v>
      </c>
      <c r="EP14" t="e">
        <f>AND(#REF!,"AAAAACF7+ZE=")</f>
        <v>#REF!</v>
      </c>
      <c r="EQ14" t="e">
        <f>AND(#REF!,"AAAAACF7+ZI=")</f>
        <v>#REF!</v>
      </c>
      <c r="ER14" t="e">
        <f>AND(#REF!,"AAAAACF7+ZM=")</f>
        <v>#REF!</v>
      </c>
      <c r="ES14" t="e">
        <f>AND(#REF!,"AAAAACF7+ZQ=")</f>
        <v>#REF!</v>
      </c>
      <c r="ET14" t="e">
        <f>AND(#REF!,"AAAAACF7+ZU=")</f>
        <v>#REF!</v>
      </c>
      <c r="EU14" t="e">
        <f>AND(#REF!,"AAAAACF7+ZY=")</f>
        <v>#REF!</v>
      </c>
      <c r="EV14" t="e">
        <f>IF(#REF!,"AAAAACF7+Zc=",0)</f>
        <v>#REF!</v>
      </c>
      <c r="EW14" t="e">
        <f>AND(#REF!,"AAAAACF7+Zg=")</f>
        <v>#REF!</v>
      </c>
      <c r="EX14" t="e">
        <f>AND(#REF!,"AAAAACF7+Zk=")</f>
        <v>#REF!</v>
      </c>
      <c r="EY14" t="e">
        <f>AND(#REF!,"AAAAACF7+Zo=")</f>
        <v>#REF!</v>
      </c>
      <c r="EZ14" t="e">
        <f>AND(#REF!,"AAAAACF7+Zs=")</f>
        <v>#REF!</v>
      </c>
      <c r="FA14" t="e">
        <f>AND(#REF!,"AAAAACF7+Zw=")</f>
        <v>#REF!</v>
      </c>
      <c r="FB14" t="e">
        <f>AND(#REF!,"AAAAACF7+Z0=")</f>
        <v>#REF!</v>
      </c>
      <c r="FC14" t="e">
        <f>AND(#REF!,"AAAAACF7+Z4=")</f>
        <v>#REF!</v>
      </c>
      <c r="FD14" t="e">
        <f>AND(#REF!,"AAAAACF7+Z8=")</f>
        <v>#REF!</v>
      </c>
      <c r="FE14" t="e">
        <f>AND(#REF!,"AAAAACF7+aA=")</f>
        <v>#REF!</v>
      </c>
      <c r="FF14" t="e">
        <f>AND(#REF!,"AAAAACF7+aE=")</f>
        <v>#REF!</v>
      </c>
      <c r="FG14" t="e">
        <f>AND(#REF!,"AAAAACF7+aI=")</f>
        <v>#REF!</v>
      </c>
      <c r="FH14" t="e">
        <f>AND(#REF!,"AAAAACF7+aM=")</f>
        <v>#REF!</v>
      </c>
      <c r="FI14" t="e">
        <f>AND(#REF!,"AAAAACF7+aQ=")</f>
        <v>#REF!</v>
      </c>
      <c r="FJ14" t="e">
        <f>AND(#REF!,"AAAAACF7+aU=")</f>
        <v>#REF!</v>
      </c>
      <c r="FK14" t="e">
        <f>AND(#REF!,"AAAAACF7+aY=")</f>
        <v>#REF!</v>
      </c>
      <c r="FL14" t="e">
        <f>AND(#REF!,"AAAAACF7+ac=")</f>
        <v>#REF!</v>
      </c>
      <c r="FM14" t="e">
        <f>AND(#REF!,"AAAAACF7+ag=")</f>
        <v>#REF!</v>
      </c>
      <c r="FN14" t="e">
        <f>AND(#REF!,"AAAAACF7+ak=")</f>
        <v>#REF!</v>
      </c>
      <c r="FO14" t="e">
        <f>AND(#REF!,"AAAAACF7+ao=")</f>
        <v>#REF!</v>
      </c>
      <c r="FP14" t="e">
        <f>AND(#REF!,"AAAAACF7+as=")</f>
        <v>#REF!</v>
      </c>
      <c r="FQ14" t="e">
        <f>AND(#REF!,"AAAAACF7+aw=")</f>
        <v>#REF!</v>
      </c>
      <c r="FR14" t="e">
        <f>AND(#REF!,"AAAAACF7+a0=")</f>
        <v>#REF!</v>
      </c>
      <c r="FS14" t="e">
        <f>AND(#REF!,"AAAAACF7+a4=")</f>
        <v>#REF!</v>
      </c>
      <c r="FT14" t="e">
        <f>IF(#REF!,"AAAAACF7+a8=",0)</f>
        <v>#REF!</v>
      </c>
      <c r="FU14" t="e">
        <f>AND(#REF!,"AAAAACF7+bA=")</f>
        <v>#REF!</v>
      </c>
      <c r="FV14" t="e">
        <f>AND(#REF!,"AAAAACF7+bE=")</f>
        <v>#REF!</v>
      </c>
      <c r="FW14" t="e">
        <f>AND(#REF!,"AAAAACF7+bI=")</f>
        <v>#REF!</v>
      </c>
      <c r="FX14" t="e">
        <f>AND(#REF!,"AAAAACF7+bM=")</f>
        <v>#REF!</v>
      </c>
      <c r="FY14" t="e">
        <f>AND(#REF!,"AAAAACF7+bQ=")</f>
        <v>#REF!</v>
      </c>
      <c r="FZ14" t="e">
        <f>AND(#REF!,"AAAAACF7+bU=")</f>
        <v>#REF!</v>
      </c>
      <c r="GA14" t="e">
        <f>AND(#REF!,"AAAAACF7+bY=")</f>
        <v>#REF!</v>
      </c>
      <c r="GB14" t="e">
        <f>AND(#REF!,"AAAAACF7+bc=")</f>
        <v>#REF!</v>
      </c>
      <c r="GC14" t="e">
        <f>AND(#REF!,"AAAAACF7+bg=")</f>
        <v>#REF!</v>
      </c>
      <c r="GD14" t="e">
        <f>AND(#REF!,"AAAAACF7+bk=")</f>
        <v>#REF!</v>
      </c>
      <c r="GE14" t="e">
        <f>AND(#REF!,"AAAAACF7+bo=")</f>
        <v>#REF!</v>
      </c>
      <c r="GF14" t="e">
        <f>AND(#REF!,"AAAAACF7+bs=")</f>
        <v>#REF!</v>
      </c>
      <c r="GG14" t="e">
        <f>AND(#REF!,"AAAAACF7+bw=")</f>
        <v>#REF!</v>
      </c>
      <c r="GH14" t="e">
        <f>AND(#REF!,"AAAAACF7+b0=")</f>
        <v>#REF!</v>
      </c>
      <c r="GI14" t="e">
        <f>AND(#REF!,"AAAAACF7+b4=")</f>
        <v>#REF!</v>
      </c>
      <c r="GJ14" t="e">
        <f>AND(#REF!,"AAAAACF7+b8=")</f>
        <v>#REF!</v>
      </c>
      <c r="GK14" t="e">
        <f>AND(#REF!,"AAAAACF7+cA=")</f>
        <v>#REF!</v>
      </c>
      <c r="GL14" t="e">
        <f>AND(#REF!,"AAAAACF7+cE=")</f>
        <v>#REF!</v>
      </c>
      <c r="GM14" t="e">
        <f>AND(#REF!,"AAAAACF7+cI=")</f>
        <v>#REF!</v>
      </c>
      <c r="GN14" t="e">
        <f>AND(#REF!,"AAAAACF7+cM=")</f>
        <v>#REF!</v>
      </c>
      <c r="GO14" t="e">
        <f>AND(#REF!,"AAAAACF7+cQ=")</f>
        <v>#REF!</v>
      </c>
      <c r="GP14" t="e">
        <f>AND(#REF!,"AAAAACF7+cU=")</f>
        <v>#REF!</v>
      </c>
      <c r="GQ14" t="e">
        <f>AND(#REF!,"AAAAACF7+cY=")</f>
        <v>#REF!</v>
      </c>
      <c r="GR14" t="e">
        <f>IF(#REF!,"AAAAACF7+cc=",0)</f>
        <v>#REF!</v>
      </c>
      <c r="GS14" t="e">
        <f>AND(#REF!,"AAAAACF7+cg=")</f>
        <v>#REF!</v>
      </c>
      <c r="GT14" t="e">
        <f>AND(#REF!,"AAAAACF7+ck=")</f>
        <v>#REF!</v>
      </c>
      <c r="GU14" t="e">
        <f>AND(#REF!,"AAAAACF7+co=")</f>
        <v>#REF!</v>
      </c>
      <c r="GV14" t="e">
        <f>AND(#REF!,"AAAAACF7+cs=")</f>
        <v>#REF!</v>
      </c>
      <c r="GW14" t="e">
        <f>AND(#REF!,"AAAAACF7+cw=")</f>
        <v>#REF!</v>
      </c>
      <c r="GX14" t="e">
        <f>AND(#REF!,"AAAAACF7+c0=")</f>
        <v>#REF!</v>
      </c>
      <c r="GY14" t="e">
        <f>AND(#REF!,"AAAAACF7+c4=")</f>
        <v>#REF!</v>
      </c>
      <c r="GZ14" t="e">
        <f>AND(#REF!,"AAAAACF7+c8=")</f>
        <v>#REF!</v>
      </c>
      <c r="HA14" t="e">
        <f>AND(#REF!,"AAAAACF7+dA=")</f>
        <v>#REF!</v>
      </c>
      <c r="HB14" t="e">
        <f>AND(#REF!,"AAAAACF7+dE=")</f>
        <v>#REF!</v>
      </c>
      <c r="HC14" t="e">
        <f>AND(#REF!,"AAAAACF7+dI=")</f>
        <v>#REF!</v>
      </c>
      <c r="HD14" t="e">
        <f>AND(#REF!,"AAAAACF7+dM=")</f>
        <v>#REF!</v>
      </c>
      <c r="HE14" t="e">
        <f>AND(#REF!,"AAAAACF7+dQ=")</f>
        <v>#REF!</v>
      </c>
      <c r="HF14" t="e">
        <f>AND(#REF!,"AAAAACF7+dU=")</f>
        <v>#REF!</v>
      </c>
      <c r="HG14" t="e">
        <f>AND(#REF!,"AAAAACF7+dY=")</f>
        <v>#REF!</v>
      </c>
      <c r="HH14" t="e">
        <f>AND(#REF!,"AAAAACF7+dc=")</f>
        <v>#REF!</v>
      </c>
      <c r="HI14" t="e">
        <f>AND(#REF!,"AAAAACF7+dg=")</f>
        <v>#REF!</v>
      </c>
      <c r="HJ14" t="e">
        <f>AND(#REF!,"AAAAACF7+dk=")</f>
        <v>#REF!</v>
      </c>
      <c r="HK14" t="e">
        <f>AND(#REF!,"AAAAACF7+do=")</f>
        <v>#REF!</v>
      </c>
      <c r="HL14" t="e">
        <f>AND(#REF!,"AAAAACF7+ds=")</f>
        <v>#REF!</v>
      </c>
      <c r="HM14" t="e">
        <f>AND(#REF!,"AAAAACF7+dw=")</f>
        <v>#REF!</v>
      </c>
      <c r="HN14" t="e">
        <f>AND(#REF!,"AAAAACF7+d0=")</f>
        <v>#REF!</v>
      </c>
      <c r="HO14" t="e">
        <f>AND(#REF!,"AAAAACF7+d4=")</f>
        <v>#REF!</v>
      </c>
      <c r="HP14" t="e">
        <f>IF(#REF!,"AAAAACF7+d8=",0)</f>
        <v>#REF!</v>
      </c>
      <c r="HQ14" t="e">
        <f>AND(#REF!,"AAAAACF7+eA=")</f>
        <v>#REF!</v>
      </c>
      <c r="HR14" t="e">
        <f>AND(#REF!,"AAAAACF7+eE=")</f>
        <v>#REF!</v>
      </c>
      <c r="HS14" t="e">
        <f>AND(#REF!,"AAAAACF7+eI=")</f>
        <v>#REF!</v>
      </c>
      <c r="HT14" t="e">
        <f>AND(#REF!,"AAAAACF7+eM=")</f>
        <v>#REF!</v>
      </c>
      <c r="HU14" t="e">
        <f>AND(#REF!,"AAAAACF7+eQ=")</f>
        <v>#REF!</v>
      </c>
      <c r="HV14" t="e">
        <f>AND(#REF!,"AAAAACF7+eU=")</f>
        <v>#REF!</v>
      </c>
      <c r="HW14" t="e">
        <f>AND(#REF!,"AAAAACF7+eY=")</f>
        <v>#REF!</v>
      </c>
      <c r="HX14" t="e">
        <f>AND(#REF!,"AAAAACF7+ec=")</f>
        <v>#REF!</v>
      </c>
      <c r="HY14" t="e">
        <f>AND(#REF!,"AAAAACF7+eg=")</f>
        <v>#REF!</v>
      </c>
      <c r="HZ14" t="e">
        <f>AND(#REF!,"AAAAACF7+ek=")</f>
        <v>#REF!</v>
      </c>
      <c r="IA14" t="e">
        <f>AND(#REF!,"AAAAACF7+eo=")</f>
        <v>#REF!</v>
      </c>
      <c r="IB14" t="e">
        <f>AND(#REF!,"AAAAACF7+es=")</f>
        <v>#REF!</v>
      </c>
      <c r="IC14" t="e">
        <f>AND(#REF!,"AAAAACF7+ew=")</f>
        <v>#REF!</v>
      </c>
      <c r="ID14" t="e">
        <f>AND(#REF!,"AAAAACF7+e0=")</f>
        <v>#REF!</v>
      </c>
      <c r="IE14" t="e">
        <f>AND(#REF!,"AAAAACF7+e4=")</f>
        <v>#REF!</v>
      </c>
      <c r="IF14" t="e">
        <f>AND(#REF!,"AAAAACF7+e8=")</f>
        <v>#REF!</v>
      </c>
      <c r="IG14" t="e">
        <f>AND(#REF!,"AAAAACF7+fA=")</f>
        <v>#REF!</v>
      </c>
      <c r="IH14" t="e">
        <f>AND(#REF!,"AAAAACF7+fE=")</f>
        <v>#REF!</v>
      </c>
      <c r="II14" t="e">
        <f>AND(#REF!,"AAAAACF7+fI=")</f>
        <v>#REF!</v>
      </c>
      <c r="IJ14" t="e">
        <f>AND(#REF!,"AAAAACF7+fM=")</f>
        <v>#REF!</v>
      </c>
      <c r="IK14" t="e">
        <f>AND(#REF!,"AAAAACF7+fQ=")</f>
        <v>#REF!</v>
      </c>
      <c r="IL14" t="e">
        <f>AND(#REF!,"AAAAACF7+fU=")</f>
        <v>#REF!</v>
      </c>
      <c r="IM14" t="e">
        <f>AND(#REF!,"AAAAACF7+fY=")</f>
        <v>#REF!</v>
      </c>
      <c r="IN14" t="e">
        <f>IF(#REF!,"AAAAACF7+fc=",0)</f>
        <v>#REF!</v>
      </c>
      <c r="IO14" t="e">
        <f>AND(#REF!,"AAAAACF7+fg=")</f>
        <v>#REF!</v>
      </c>
      <c r="IP14" t="e">
        <f>AND(#REF!,"AAAAACF7+fk=")</f>
        <v>#REF!</v>
      </c>
      <c r="IQ14" t="e">
        <f>AND(#REF!,"AAAAACF7+fo=")</f>
        <v>#REF!</v>
      </c>
      <c r="IR14" t="e">
        <f>AND(#REF!,"AAAAACF7+fs=")</f>
        <v>#REF!</v>
      </c>
      <c r="IS14" t="e">
        <f>AND(#REF!,"AAAAACF7+fw=")</f>
        <v>#REF!</v>
      </c>
      <c r="IT14" t="e">
        <f>AND(#REF!,"AAAAACF7+f0=")</f>
        <v>#REF!</v>
      </c>
      <c r="IU14" t="e">
        <f>AND(#REF!,"AAAAACF7+f4=")</f>
        <v>#REF!</v>
      </c>
      <c r="IV14" t="e">
        <f>AND(#REF!,"AAAAACF7+f8=")</f>
        <v>#REF!</v>
      </c>
    </row>
    <row r="15" spans="1:256" x14ac:dyDescent="0.25">
      <c r="A15" t="e">
        <f>AND(#REF!,"AAAAAG/jpQA=")</f>
        <v>#REF!</v>
      </c>
      <c r="B15" t="e">
        <f>AND(#REF!,"AAAAAG/jpQE=")</f>
        <v>#REF!</v>
      </c>
      <c r="C15" t="e">
        <f>AND(#REF!,"AAAAAG/jpQI=")</f>
        <v>#REF!</v>
      </c>
      <c r="D15" t="e">
        <f>AND(#REF!,"AAAAAG/jpQM=")</f>
        <v>#REF!</v>
      </c>
      <c r="E15" t="e">
        <f>AND(#REF!,"AAAAAG/jpQQ=")</f>
        <v>#REF!</v>
      </c>
      <c r="F15" t="e">
        <f>AND(#REF!,"AAAAAG/jpQU=")</f>
        <v>#REF!</v>
      </c>
      <c r="G15" t="e">
        <f>AND(#REF!,"AAAAAG/jpQY=")</f>
        <v>#REF!</v>
      </c>
      <c r="H15" t="e">
        <f>AND(#REF!,"AAAAAG/jpQc=")</f>
        <v>#REF!</v>
      </c>
      <c r="I15" t="e">
        <f>AND(#REF!,"AAAAAG/jpQg=")</f>
        <v>#REF!</v>
      </c>
      <c r="J15" t="e">
        <f>AND(#REF!,"AAAAAG/jpQk=")</f>
        <v>#REF!</v>
      </c>
      <c r="K15" t="e">
        <f>AND(#REF!,"AAAAAG/jpQo=")</f>
        <v>#REF!</v>
      </c>
      <c r="L15" t="e">
        <f>AND(#REF!,"AAAAAG/jpQs=")</f>
        <v>#REF!</v>
      </c>
      <c r="M15" t="e">
        <f>AND(#REF!,"AAAAAG/jpQw=")</f>
        <v>#REF!</v>
      </c>
      <c r="N15" t="e">
        <f>AND(#REF!,"AAAAAG/jpQ0=")</f>
        <v>#REF!</v>
      </c>
      <c r="O15" t="e">
        <f>AND(#REF!,"AAAAAG/jpQ4=")</f>
        <v>#REF!</v>
      </c>
      <c r="P15" t="e">
        <f>IF(#REF!,"AAAAAG/jpQ8=",0)</f>
        <v>#REF!</v>
      </c>
      <c r="Q15" t="e">
        <f>AND(#REF!,"AAAAAG/jpRA=")</f>
        <v>#REF!</v>
      </c>
      <c r="R15" t="e">
        <f>AND(#REF!,"AAAAAG/jpRE=")</f>
        <v>#REF!</v>
      </c>
      <c r="S15" t="e">
        <f>AND(#REF!,"AAAAAG/jpRI=")</f>
        <v>#REF!</v>
      </c>
      <c r="T15" t="e">
        <f>AND(#REF!,"AAAAAG/jpRM=")</f>
        <v>#REF!</v>
      </c>
      <c r="U15" t="e">
        <f>AND(#REF!,"AAAAAG/jpRQ=")</f>
        <v>#REF!</v>
      </c>
      <c r="V15" t="e">
        <f>AND(#REF!,"AAAAAG/jpRU=")</f>
        <v>#REF!</v>
      </c>
      <c r="W15" t="e">
        <f>AND(#REF!,"AAAAAG/jpRY=")</f>
        <v>#REF!</v>
      </c>
      <c r="X15" t="e">
        <f>AND(#REF!,"AAAAAG/jpRc=")</f>
        <v>#REF!</v>
      </c>
      <c r="Y15" t="e">
        <f>AND(#REF!,"AAAAAG/jpRg=")</f>
        <v>#REF!</v>
      </c>
      <c r="Z15" t="e">
        <f>AND(#REF!,"AAAAAG/jpRk=")</f>
        <v>#REF!</v>
      </c>
      <c r="AA15" t="e">
        <f>AND(#REF!,"AAAAAG/jpRo=")</f>
        <v>#REF!</v>
      </c>
      <c r="AB15" t="e">
        <f>AND(#REF!,"AAAAAG/jpRs=")</f>
        <v>#REF!</v>
      </c>
      <c r="AC15" t="e">
        <f>AND(#REF!,"AAAAAG/jpRw=")</f>
        <v>#REF!</v>
      </c>
      <c r="AD15" t="e">
        <f>AND(#REF!,"AAAAAG/jpR0=")</f>
        <v>#REF!</v>
      </c>
      <c r="AE15" t="e">
        <f>AND(#REF!,"AAAAAG/jpR4=")</f>
        <v>#REF!</v>
      </c>
      <c r="AF15" t="e">
        <f>AND(#REF!,"AAAAAG/jpR8=")</f>
        <v>#REF!</v>
      </c>
      <c r="AG15" t="e">
        <f>AND(#REF!,"AAAAAG/jpSA=")</f>
        <v>#REF!</v>
      </c>
      <c r="AH15" t="e">
        <f>AND(#REF!,"AAAAAG/jpSE=")</f>
        <v>#REF!</v>
      </c>
      <c r="AI15" t="e">
        <f>AND(#REF!,"AAAAAG/jpSI=")</f>
        <v>#REF!</v>
      </c>
      <c r="AJ15" t="e">
        <f>AND(#REF!,"AAAAAG/jpSM=")</f>
        <v>#REF!</v>
      </c>
      <c r="AK15" t="e">
        <f>AND(#REF!,"AAAAAG/jpSQ=")</f>
        <v>#REF!</v>
      </c>
      <c r="AL15" t="e">
        <f>AND(#REF!,"AAAAAG/jpSU=")</f>
        <v>#REF!</v>
      </c>
      <c r="AM15" t="e">
        <f>AND(#REF!,"AAAAAG/jpSY=")</f>
        <v>#REF!</v>
      </c>
      <c r="AN15" t="e">
        <f>IF(#REF!,"AAAAAG/jpSc=",0)</f>
        <v>#REF!</v>
      </c>
      <c r="AO15" t="e">
        <f>AND(#REF!,"AAAAAG/jpSg=")</f>
        <v>#REF!</v>
      </c>
      <c r="AP15" t="e">
        <f>AND(#REF!,"AAAAAG/jpSk=")</f>
        <v>#REF!</v>
      </c>
      <c r="AQ15" t="e">
        <f>AND(#REF!,"AAAAAG/jpSo=")</f>
        <v>#REF!</v>
      </c>
      <c r="AR15" t="e">
        <f>AND(#REF!,"AAAAAG/jpSs=")</f>
        <v>#REF!</v>
      </c>
      <c r="AS15" t="e">
        <f>AND(#REF!,"AAAAAG/jpSw=")</f>
        <v>#REF!</v>
      </c>
      <c r="AT15" t="e">
        <f>AND(#REF!,"AAAAAG/jpS0=")</f>
        <v>#REF!</v>
      </c>
      <c r="AU15" t="e">
        <f>AND(#REF!,"AAAAAG/jpS4=")</f>
        <v>#REF!</v>
      </c>
      <c r="AV15" t="e">
        <f>AND(#REF!,"AAAAAG/jpS8=")</f>
        <v>#REF!</v>
      </c>
      <c r="AW15" t="e">
        <f>AND(#REF!,"AAAAAG/jpTA=")</f>
        <v>#REF!</v>
      </c>
      <c r="AX15" t="e">
        <f>AND(#REF!,"AAAAAG/jpTE=")</f>
        <v>#REF!</v>
      </c>
      <c r="AY15" t="e">
        <f>AND(#REF!,"AAAAAG/jpTI=")</f>
        <v>#REF!</v>
      </c>
      <c r="AZ15" t="e">
        <f>AND(#REF!,"AAAAAG/jpTM=")</f>
        <v>#REF!</v>
      </c>
      <c r="BA15" t="e">
        <f>AND(#REF!,"AAAAAG/jpTQ=")</f>
        <v>#REF!</v>
      </c>
      <c r="BB15" t="e">
        <f>AND(#REF!,"AAAAAG/jpTU=")</f>
        <v>#REF!</v>
      </c>
      <c r="BC15" t="e">
        <f>AND(#REF!,"AAAAAG/jpTY=")</f>
        <v>#REF!</v>
      </c>
      <c r="BD15" t="e">
        <f>AND(#REF!,"AAAAAG/jpTc=")</f>
        <v>#REF!</v>
      </c>
      <c r="BE15" t="e">
        <f>AND(#REF!,"AAAAAG/jpTg=")</f>
        <v>#REF!</v>
      </c>
      <c r="BF15" t="e">
        <f>AND(#REF!,"AAAAAG/jpTk=")</f>
        <v>#REF!</v>
      </c>
      <c r="BG15" t="e">
        <f>AND(#REF!,"AAAAAG/jpTo=")</f>
        <v>#REF!</v>
      </c>
      <c r="BH15" t="e">
        <f>AND(#REF!,"AAAAAG/jpTs=")</f>
        <v>#REF!</v>
      </c>
      <c r="BI15" t="e">
        <f>AND(#REF!,"AAAAAG/jpTw=")</f>
        <v>#REF!</v>
      </c>
      <c r="BJ15" t="e">
        <f>AND(#REF!,"AAAAAG/jpT0=")</f>
        <v>#REF!</v>
      </c>
      <c r="BK15" t="e">
        <f>AND(#REF!,"AAAAAG/jpT4=")</f>
        <v>#REF!</v>
      </c>
      <c r="BL15" t="e">
        <f>IF(#REF!,"AAAAAG/jpT8=",0)</f>
        <v>#REF!</v>
      </c>
      <c r="BM15" t="e">
        <f>AND(#REF!,"AAAAAG/jpUA=")</f>
        <v>#REF!</v>
      </c>
      <c r="BN15" t="e">
        <f>AND(#REF!,"AAAAAG/jpUE=")</f>
        <v>#REF!</v>
      </c>
      <c r="BO15" t="e">
        <f>AND(#REF!,"AAAAAG/jpUI=")</f>
        <v>#REF!</v>
      </c>
      <c r="BP15" t="e">
        <f>AND(#REF!,"AAAAAG/jpUM=")</f>
        <v>#REF!</v>
      </c>
      <c r="BQ15" t="e">
        <f>AND(#REF!,"AAAAAG/jpUQ=")</f>
        <v>#REF!</v>
      </c>
      <c r="BR15" t="e">
        <f>AND(#REF!,"AAAAAG/jpUU=")</f>
        <v>#REF!</v>
      </c>
      <c r="BS15" t="e">
        <f>AND(#REF!,"AAAAAG/jpUY=")</f>
        <v>#REF!</v>
      </c>
      <c r="BT15" t="e">
        <f>AND(#REF!,"AAAAAG/jpUc=")</f>
        <v>#REF!</v>
      </c>
      <c r="BU15" t="e">
        <f>AND(#REF!,"AAAAAG/jpUg=")</f>
        <v>#REF!</v>
      </c>
      <c r="BV15" t="e">
        <f>AND(#REF!,"AAAAAG/jpUk=")</f>
        <v>#REF!</v>
      </c>
      <c r="BW15" t="e">
        <f>AND(#REF!,"AAAAAG/jpUo=")</f>
        <v>#REF!</v>
      </c>
      <c r="BX15" t="e">
        <f>AND(#REF!,"AAAAAG/jpUs=")</f>
        <v>#REF!</v>
      </c>
      <c r="BY15" t="e">
        <f>AND(#REF!,"AAAAAG/jpUw=")</f>
        <v>#REF!</v>
      </c>
      <c r="BZ15" t="e">
        <f>AND(#REF!,"AAAAAG/jpU0=")</f>
        <v>#REF!</v>
      </c>
      <c r="CA15" t="e">
        <f>AND(#REF!,"AAAAAG/jpU4=")</f>
        <v>#REF!</v>
      </c>
      <c r="CB15" t="e">
        <f>AND(#REF!,"AAAAAG/jpU8=")</f>
        <v>#REF!</v>
      </c>
      <c r="CC15" t="e">
        <f>AND(#REF!,"AAAAAG/jpVA=")</f>
        <v>#REF!</v>
      </c>
      <c r="CD15" t="e">
        <f>AND(#REF!,"AAAAAG/jpVE=")</f>
        <v>#REF!</v>
      </c>
      <c r="CE15" t="e">
        <f>AND(#REF!,"AAAAAG/jpVI=")</f>
        <v>#REF!</v>
      </c>
      <c r="CF15" t="e">
        <f>AND(#REF!,"AAAAAG/jpVM=")</f>
        <v>#REF!</v>
      </c>
      <c r="CG15" t="e">
        <f>AND(#REF!,"AAAAAG/jpVQ=")</f>
        <v>#REF!</v>
      </c>
      <c r="CH15" t="e">
        <f>AND(#REF!,"AAAAAG/jpVU=")</f>
        <v>#REF!</v>
      </c>
      <c r="CI15" t="e">
        <f>AND(#REF!,"AAAAAG/jpVY=")</f>
        <v>#REF!</v>
      </c>
      <c r="CJ15" t="e">
        <f>IF(#REF!,"AAAAAG/jpVc=",0)</f>
        <v>#REF!</v>
      </c>
      <c r="CK15" t="e">
        <f>AND(#REF!,"AAAAAG/jpVg=")</f>
        <v>#REF!</v>
      </c>
      <c r="CL15" t="e">
        <f>AND(#REF!,"AAAAAG/jpVk=")</f>
        <v>#REF!</v>
      </c>
      <c r="CM15" t="e">
        <f>AND(#REF!,"AAAAAG/jpVo=")</f>
        <v>#REF!</v>
      </c>
      <c r="CN15" t="e">
        <f>AND(#REF!,"AAAAAG/jpVs=")</f>
        <v>#REF!</v>
      </c>
      <c r="CO15" t="e">
        <f>AND(#REF!,"AAAAAG/jpVw=")</f>
        <v>#REF!</v>
      </c>
      <c r="CP15" t="e">
        <f>AND(#REF!,"AAAAAG/jpV0=")</f>
        <v>#REF!</v>
      </c>
      <c r="CQ15" t="e">
        <f>AND(#REF!,"AAAAAG/jpV4=")</f>
        <v>#REF!</v>
      </c>
      <c r="CR15" t="e">
        <f>AND(#REF!,"AAAAAG/jpV8=")</f>
        <v>#REF!</v>
      </c>
      <c r="CS15" t="e">
        <f>AND(#REF!,"AAAAAG/jpWA=")</f>
        <v>#REF!</v>
      </c>
      <c r="CT15" t="e">
        <f>AND(#REF!,"AAAAAG/jpWE=")</f>
        <v>#REF!</v>
      </c>
      <c r="CU15" t="e">
        <f>AND(#REF!,"AAAAAG/jpWI=")</f>
        <v>#REF!</v>
      </c>
      <c r="CV15" t="e">
        <f>AND(#REF!,"AAAAAG/jpWM=")</f>
        <v>#REF!</v>
      </c>
      <c r="CW15" t="e">
        <f>AND(#REF!,"AAAAAG/jpWQ=")</f>
        <v>#REF!</v>
      </c>
      <c r="CX15" t="e">
        <f>AND(#REF!,"AAAAAG/jpWU=")</f>
        <v>#REF!</v>
      </c>
      <c r="CY15" t="e">
        <f>AND(#REF!,"AAAAAG/jpWY=")</f>
        <v>#REF!</v>
      </c>
      <c r="CZ15" t="e">
        <f>AND(#REF!,"AAAAAG/jpWc=")</f>
        <v>#REF!</v>
      </c>
      <c r="DA15" t="e">
        <f>AND(#REF!,"AAAAAG/jpWg=")</f>
        <v>#REF!</v>
      </c>
      <c r="DB15" t="e">
        <f>AND(#REF!,"AAAAAG/jpWk=")</f>
        <v>#REF!</v>
      </c>
      <c r="DC15" t="e">
        <f>AND(#REF!,"AAAAAG/jpWo=")</f>
        <v>#REF!</v>
      </c>
      <c r="DD15" t="e">
        <f>AND(#REF!,"AAAAAG/jpWs=")</f>
        <v>#REF!</v>
      </c>
      <c r="DE15" t="e">
        <f>AND(#REF!,"AAAAAG/jpWw=")</f>
        <v>#REF!</v>
      </c>
      <c r="DF15" t="e">
        <f>AND(#REF!,"AAAAAG/jpW0=")</f>
        <v>#REF!</v>
      </c>
      <c r="DG15" t="e">
        <f>AND(#REF!,"AAAAAG/jpW4=")</f>
        <v>#REF!</v>
      </c>
      <c r="DH15" t="e">
        <f>IF(#REF!,"AAAAAG/jpW8=",0)</f>
        <v>#REF!</v>
      </c>
      <c r="DI15" t="e">
        <f>AND(#REF!,"AAAAAG/jpXA=")</f>
        <v>#REF!</v>
      </c>
      <c r="DJ15" t="e">
        <f>AND(#REF!,"AAAAAG/jpXE=")</f>
        <v>#REF!</v>
      </c>
      <c r="DK15" t="e">
        <f>AND(#REF!,"AAAAAG/jpXI=")</f>
        <v>#REF!</v>
      </c>
      <c r="DL15" t="e">
        <f>AND(#REF!,"AAAAAG/jpXM=")</f>
        <v>#REF!</v>
      </c>
      <c r="DM15" t="e">
        <f>AND(#REF!,"AAAAAG/jpXQ=")</f>
        <v>#REF!</v>
      </c>
      <c r="DN15" t="e">
        <f>AND(#REF!,"AAAAAG/jpXU=")</f>
        <v>#REF!</v>
      </c>
      <c r="DO15" t="e">
        <f>AND(#REF!,"AAAAAG/jpXY=")</f>
        <v>#REF!</v>
      </c>
      <c r="DP15" t="e">
        <f>AND(#REF!,"AAAAAG/jpXc=")</f>
        <v>#REF!</v>
      </c>
      <c r="DQ15" t="e">
        <f>AND(#REF!,"AAAAAG/jpXg=")</f>
        <v>#REF!</v>
      </c>
      <c r="DR15" t="e">
        <f>AND(#REF!,"AAAAAG/jpXk=")</f>
        <v>#REF!</v>
      </c>
      <c r="DS15" t="e">
        <f>AND(#REF!,"AAAAAG/jpXo=")</f>
        <v>#REF!</v>
      </c>
      <c r="DT15" t="e">
        <f>AND(#REF!,"AAAAAG/jpXs=")</f>
        <v>#REF!</v>
      </c>
      <c r="DU15" t="e">
        <f>AND(#REF!,"AAAAAG/jpXw=")</f>
        <v>#REF!</v>
      </c>
      <c r="DV15" t="e">
        <f>AND(#REF!,"AAAAAG/jpX0=")</f>
        <v>#REF!</v>
      </c>
      <c r="DW15" t="e">
        <f>AND(#REF!,"AAAAAG/jpX4=")</f>
        <v>#REF!</v>
      </c>
      <c r="DX15" t="e">
        <f>AND(#REF!,"AAAAAG/jpX8=")</f>
        <v>#REF!</v>
      </c>
      <c r="DY15" t="e">
        <f>AND(#REF!,"AAAAAG/jpYA=")</f>
        <v>#REF!</v>
      </c>
      <c r="DZ15" t="e">
        <f>AND(#REF!,"AAAAAG/jpYE=")</f>
        <v>#REF!</v>
      </c>
      <c r="EA15" t="e">
        <f>AND(#REF!,"AAAAAG/jpYI=")</f>
        <v>#REF!</v>
      </c>
      <c r="EB15" t="e">
        <f>AND(#REF!,"AAAAAG/jpYM=")</f>
        <v>#REF!</v>
      </c>
      <c r="EC15" t="e">
        <f>AND(#REF!,"AAAAAG/jpYQ=")</f>
        <v>#REF!</v>
      </c>
      <c r="ED15" t="e">
        <f>AND(#REF!,"AAAAAG/jpYU=")</f>
        <v>#REF!</v>
      </c>
      <c r="EE15" t="e">
        <f>AND(#REF!,"AAAAAG/jpYY=")</f>
        <v>#REF!</v>
      </c>
      <c r="EF15" t="e">
        <f>IF(#REF!,"AAAAAG/jpYc=",0)</f>
        <v>#REF!</v>
      </c>
      <c r="EG15" t="e">
        <f>AND(#REF!,"AAAAAG/jpYg=")</f>
        <v>#REF!</v>
      </c>
      <c r="EH15" t="e">
        <f>AND(#REF!,"AAAAAG/jpYk=")</f>
        <v>#REF!</v>
      </c>
      <c r="EI15" t="e">
        <f>AND(#REF!,"AAAAAG/jpYo=")</f>
        <v>#REF!</v>
      </c>
      <c r="EJ15" t="e">
        <f>AND(#REF!,"AAAAAG/jpYs=")</f>
        <v>#REF!</v>
      </c>
      <c r="EK15" t="e">
        <f>AND(#REF!,"AAAAAG/jpYw=")</f>
        <v>#REF!</v>
      </c>
      <c r="EL15" t="e">
        <f>AND(#REF!,"AAAAAG/jpY0=")</f>
        <v>#REF!</v>
      </c>
      <c r="EM15" t="e">
        <f>AND(#REF!,"AAAAAG/jpY4=")</f>
        <v>#REF!</v>
      </c>
      <c r="EN15" t="e">
        <f>AND(#REF!,"AAAAAG/jpY8=")</f>
        <v>#REF!</v>
      </c>
      <c r="EO15" t="e">
        <f>AND(#REF!,"AAAAAG/jpZA=")</f>
        <v>#REF!</v>
      </c>
      <c r="EP15" t="e">
        <f>AND(#REF!,"AAAAAG/jpZE=")</f>
        <v>#REF!</v>
      </c>
      <c r="EQ15" t="e">
        <f>AND(#REF!,"AAAAAG/jpZI=")</f>
        <v>#REF!</v>
      </c>
      <c r="ER15" t="e">
        <f>AND(#REF!,"AAAAAG/jpZM=")</f>
        <v>#REF!</v>
      </c>
      <c r="ES15" t="e">
        <f>AND(#REF!,"AAAAAG/jpZQ=")</f>
        <v>#REF!</v>
      </c>
      <c r="ET15" t="e">
        <f>AND(#REF!,"AAAAAG/jpZU=")</f>
        <v>#REF!</v>
      </c>
      <c r="EU15" t="e">
        <f>AND(#REF!,"AAAAAG/jpZY=")</f>
        <v>#REF!</v>
      </c>
      <c r="EV15" t="e">
        <f>AND(#REF!,"AAAAAG/jpZc=")</f>
        <v>#REF!</v>
      </c>
      <c r="EW15" t="e">
        <f>AND(#REF!,"AAAAAG/jpZg=")</f>
        <v>#REF!</v>
      </c>
      <c r="EX15" t="e">
        <f>AND(#REF!,"AAAAAG/jpZk=")</f>
        <v>#REF!</v>
      </c>
      <c r="EY15" t="e">
        <f>AND(#REF!,"AAAAAG/jpZo=")</f>
        <v>#REF!</v>
      </c>
      <c r="EZ15" t="e">
        <f>AND(#REF!,"AAAAAG/jpZs=")</f>
        <v>#REF!</v>
      </c>
      <c r="FA15" t="e">
        <f>AND(#REF!,"AAAAAG/jpZw=")</f>
        <v>#REF!</v>
      </c>
      <c r="FB15" t="e">
        <f>AND(#REF!,"AAAAAG/jpZ0=")</f>
        <v>#REF!</v>
      </c>
      <c r="FC15" t="e">
        <f>AND(#REF!,"AAAAAG/jpZ4=")</f>
        <v>#REF!</v>
      </c>
      <c r="FD15" t="e">
        <f>IF(#REF!,"AAAAAG/jpZ8=",0)</f>
        <v>#REF!</v>
      </c>
      <c r="FE15" t="e">
        <f>AND(#REF!,"AAAAAG/jpaA=")</f>
        <v>#REF!</v>
      </c>
      <c r="FF15" t="e">
        <f>AND(#REF!,"AAAAAG/jpaE=")</f>
        <v>#REF!</v>
      </c>
      <c r="FG15" t="e">
        <f>AND(#REF!,"AAAAAG/jpaI=")</f>
        <v>#REF!</v>
      </c>
      <c r="FH15" t="e">
        <f>AND(#REF!,"AAAAAG/jpaM=")</f>
        <v>#REF!</v>
      </c>
      <c r="FI15" t="e">
        <f>AND(#REF!,"AAAAAG/jpaQ=")</f>
        <v>#REF!</v>
      </c>
      <c r="FJ15" t="e">
        <f>AND(#REF!,"AAAAAG/jpaU=")</f>
        <v>#REF!</v>
      </c>
      <c r="FK15" t="e">
        <f>AND(#REF!,"AAAAAG/jpaY=")</f>
        <v>#REF!</v>
      </c>
      <c r="FL15" t="e">
        <f>AND(#REF!,"AAAAAG/jpac=")</f>
        <v>#REF!</v>
      </c>
      <c r="FM15" t="e">
        <f>AND(#REF!,"AAAAAG/jpag=")</f>
        <v>#REF!</v>
      </c>
      <c r="FN15" t="e">
        <f>AND(#REF!,"AAAAAG/jpak=")</f>
        <v>#REF!</v>
      </c>
      <c r="FO15" t="e">
        <f>AND(#REF!,"AAAAAG/jpao=")</f>
        <v>#REF!</v>
      </c>
      <c r="FP15" t="e">
        <f>AND(#REF!,"AAAAAG/jpas=")</f>
        <v>#REF!</v>
      </c>
      <c r="FQ15" t="e">
        <f>AND(#REF!,"AAAAAG/jpaw=")</f>
        <v>#REF!</v>
      </c>
      <c r="FR15" t="e">
        <f>AND(#REF!,"AAAAAG/jpa0=")</f>
        <v>#REF!</v>
      </c>
      <c r="FS15" t="e">
        <f>AND(#REF!,"AAAAAG/jpa4=")</f>
        <v>#REF!</v>
      </c>
      <c r="FT15" t="e">
        <f>AND(#REF!,"AAAAAG/jpa8=")</f>
        <v>#REF!</v>
      </c>
      <c r="FU15" t="e">
        <f>AND(#REF!,"AAAAAG/jpbA=")</f>
        <v>#REF!</v>
      </c>
      <c r="FV15" t="e">
        <f>AND(#REF!,"AAAAAG/jpbE=")</f>
        <v>#REF!</v>
      </c>
      <c r="FW15" t="e">
        <f>AND(#REF!,"AAAAAG/jpbI=")</f>
        <v>#REF!</v>
      </c>
      <c r="FX15" t="e">
        <f>AND(#REF!,"AAAAAG/jpbM=")</f>
        <v>#REF!</v>
      </c>
      <c r="FY15" t="e">
        <f>AND(#REF!,"AAAAAG/jpbQ=")</f>
        <v>#REF!</v>
      </c>
      <c r="FZ15" t="e">
        <f>AND(#REF!,"AAAAAG/jpbU=")</f>
        <v>#REF!</v>
      </c>
      <c r="GA15" t="e">
        <f>AND(#REF!,"AAAAAG/jpbY=")</f>
        <v>#REF!</v>
      </c>
      <c r="GB15" t="e">
        <f>IF(#REF!,"AAAAAG/jpbc=",0)</f>
        <v>#REF!</v>
      </c>
      <c r="GC15" t="e">
        <f>AND(#REF!,"AAAAAG/jpbg=")</f>
        <v>#REF!</v>
      </c>
      <c r="GD15" t="e">
        <f>AND(#REF!,"AAAAAG/jpbk=")</f>
        <v>#REF!</v>
      </c>
      <c r="GE15" t="e">
        <f>AND(#REF!,"AAAAAG/jpbo=")</f>
        <v>#REF!</v>
      </c>
      <c r="GF15" t="e">
        <f>AND(#REF!,"AAAAAG/jpbs=")</f>
        <v>#REF!</v>
      </c>
      <c r="GG15" t="e">
        <f>AND(#REF!,"AAAAAG/jpbw=")</f>
        <v>#REF!</v>
      </c>
      <c r="GH15" t="e">
        <f>AND(#REF!,"AAAAAG/jpb0=")</f>
        <v>#REF!</v>
      </c>
      <c r="GI15" t="e">
        <f>AND(#REF!,"AAAAAG/jpb4=")</f>
        <v>#REF!</v>
      </c>
      <c r="GJ15" t="e">
        <f>AND(#REF!,"AAAAAG/jpb8=")</f>
        <v>#REF!</v>
      </c>
      <c r="GK15" t="e">
        <f>AND(#REF!,"AAAAAG/jpcA=")</f>
        <v>#REF!</v>
      </c>
      <c r="GL15" t="e">
        <f>AND(#REF!,"AAAAAG/jpcE=")</f>
        <v>#REF!</v>
      </c>
      <c r="GM15" t="e">
        <f>AND(#REF!,"AAAAAG/jpcI=")</f>
        <v>#REF!</v>
      </c>
      <c r="GN15" t="e">
        <f>AND(#REF!,"AAAAAG/jpcM=")</f>
        <v>#REF!</v>
      </c>
      <c r="GO15" t="e">
        <f>AND(#REF!,"AAAAAG/jpcQ=")</f>
        <v>#REF!</v>
      </c>
      <c r="GP15" t="e">
        <f>AND(#REF!,"AAAAAG/jpcU=")</f>
        <v>#REF!</v>
      </c>
      <c r="GQ15" t="e">
        <f>AND(#REF!,"AAAAAG/jpcY=")</f>
        <v>#REF!</v>
      </c>
      <c r="GR15" t="e">
        <f>AND(#REF!,"AAAAAG/jpcc=")</f>
        <v>#REF!</v>
      </c>
      <c r="GS15" t="e">
        <f>AND(#REF!,"AAAAAG/jpcg=")</f>
        <v>#REF!</v>
      </c>
      <c r="GT15" t="e">
        <f>AND(#REF!,"AAAAAG/jpck=")</f>
        <v>#REF!</v>
      </c>
      <c r="GU15" t="e">
        <f>AND(#REF!,"AAAAAG/jpco=")</f>
        <v>#REF!</v>
      </c>
      <c r="GV15" t="e">
        <f>AND(#REF!,"AAAAAG/jpcs=")</f>
        <v>#REF!</v>
      </c>
      <c r="GW15" t="e">
        <f>AND(#REF!,"AAAAAG/jpcw=")</f>
        <v>#REF!</v>
      </c>
      <c r="GX15" t="e">
        <f>AND(#REF!,"AAAAAG/jpc0=")</f>
        <v>#REF!</v>
      </c>
      <c r="GY15" t="e">
        <f>AND(#REF!,"AAAAAG/jpc4=")</f>
        <v>#REF!</v>
      </c>
      <c r="GZ15" t="e">
        <f>IF(#REF!,"AAAAAG/jpc8=",0)</f>
        <v>#REF!</v>
      </c>
      <c r="HA15" t="e">
        <f>AND(#REF!,"AAAAAG/jpdA=")</f>
        <v>#REF!</v>
      </c>
      <c r="HB15" t="e">
        <f>AND(#REF!,"AAAAAG/jpdE=")</f>
        <v>#REF!</v>
      </c>
      <c r="HC15" t="e">
        <f>AND(#REF!,"AAAAAG/jpdI=")</f>
        <v>#REF!</v>
      </c>
      <c r="HD15" t="e">
        <f>AND(#REF!,"AAAAAG/jpdM=")</f>
        <v>#REF!</v>
      </c>
      <c r="HE15" t="e">
        <f>AND(#REF!,"AAAAAG/jpdQ=")</f>
        <v>#REF!</v>
      </c>
      <c r="HF15" t="e">
        <f>AND(#REF!,"AAAAAG/jpdU=")</f>
        <v>#REF!</v>
      </c>
      <c r="HG15" t="e">
        <f>AND(#REF!,"AAAAAG/jpdY=")</f>
        <v>#REF!</v>
      </c>
      <c r="HH15" t="e">
        <f>AND(#REF!,"AAAAAG/jpdc=")</f>
        <v>#REF!</v>
      </c>
      <c r="HI15" t="e">
        <f>AND(#REF!,"AAAAAG/jpdg=")</f>
        <v>#REF!</v>
      </c>
      <c r="HJ15" t="e">
        <f>AND(#REF!,"AAAAAG/jpdk=")</f>
        <v>#REF!</v>
      </c>
      <c r="HK15" t="e">
        <f>AND(#REF!,"AAAAAG/jpdo=")</f>
        <v>#REF!</v>
      </c>
      <c r="HL15" t="e">
        <f>AND(#REF!,"AAAAAG/jpds=")</f>
        <v>#REF!</v>
      </c>
      <c r="HM15" t="e">
        <f>AND(#REF!,"AAAAAG/jpdw=")</f>
        <v>#REF!</v>
      </c>
      <c r="HN15" t="e">
        <f>AND(#REF!,"AAAAAG/jpd0=")</f>
        <v>#REF!</v>
      </c>
      <c r="HO15" t="e">
        <f>AND(#REF!,"AAAAAG/jpd4=")</f>
        <v>#REF!</v>
      </c>
      <c r="HP15" t="e">
        <f>AND(#REF!,"AAAAAG/jpd8=")</f>
        <v>#REF!</v>
      </c>
      <c r="HQ15" t="e">
        <f>AND(#REF!,"AAAAAG/jpeA=")</f>
        <v>#REF!</v>
      </c>
      <c r="HR15" t="e">
        <f>AND(#REF!,"AAAAAG/jpeE=")</f>
        <v>#REF!</v>
      </c>
      <c r="HS15" t="e">
        <f>AND(#REF!,"AAAAAG/jpeI=")</f>
        <v>#REF!</v>
      </c>
      <c r="HT15" t="e">
        <f>AND(#REF!,"AAAAAG/jpeM=")</f>
        <v>#REF!</v>
      </c>
      <c r="HU15" t="e">
        <f>AND(#REF!,"AAAAAG/jpeQ=")</f>
        <v>#REF!</v>
      </c>
      <c r="HV15" t="e">
        <f>AND(#REF!,"AAAAAG/jpeU=")</f>
        <v>#REF!</v>
      </c>
      <c r="HW15" t="e">
        <f>AND(#REF!,"AAAAAG/jpeY=")</f>
        <v>#REF!</v>
      </c>
      <c r="HX15" t="e">
        <f>IF(#REF!,"AAAAAG/jpec=",0)</f>
        <v>#REF!</v>
      </c>
      <c r="HY15" t="e">
        <f>AND(#REF!,"AAAAAG/jpeg=")</f>
        <v>#REF!</v>
      </c>
      <c r="HZ15" t="e">
        <f>AND(#REF!,"AAAAAG/jpek=")</f>
        <v>#REF!</v>
      </c>
      <c r="IA15" t="e">
        <f>AND(#REF!,"AAAAAG/jpeo=")</f>
        <v>#REF!</v>
      </c>
      <c r="IB15" t="e">
        <f>AND(#REF!,"AAAAAG/jpes=")</f>
        <v>#REF!</v>
      </c>
      <c r="IC15" t="e">
        <f>AND(#REF!,"AAAAAG/jpew=")</f>
        <v>#REF!</v>
      </c>
      <c r="ID15" t="e">
        <f>AND(#REF!,"AAAAAG/jpe0=")</f>
        <v>#REF!</v>
      </c>
      <c r="IE15" t="e">
        <f>AND(#REF!,"AAAAAG/jpe4=")</f>
        <v>#REF!</v>
      </c>
      <c r="IF15" t="e">
        <f>AND(#REF!,"AAAAAG/jpe8=")</f>
        <v>#REF!</v>
      </c>
      <c r="IG15" t="e">
        <f>AND(#REF!,"AAAAAG/jpfA=")</f>
        <v>#REF!</v>
      </c>
      <c r="IH15" t="e">
        <f>AND(#REF!,"AAAAAG/jpfE=")</f>
        <v>#REF!</v>
      </c>
      <c r="II15" t="e">
        <f>AND(#REF!,"AAAAAG/jpfI=")</f>
        <v>#REF!</v>
      </c>
      <c r="IJ15" t="e">
        <f>AND(#REF!,"AAAAAG/jpfM=")</f>
        <v>#REF!</v>
      </c>
      <c r="IK15" t="e">
        <f>AND(#REF!,"AAAAAG/jpfQ=")</f>
        <v>#REF!</v>
      </c>
      <c r="IL15" t="e">
        <f>AND(#REF!,"AAAAAG/jpfU=")</f>
        <v>#REF!</v>
      </c>
      <c r="IM15" t="e">
        <f>AND(#REF!,"AAAAAG/jpfY=")</f>
        <v>#REF!</v>
      </c>
      <c r="IN15" t="e">
        <f>AND(#REF!,"AAAAAG/jpfc=")</f>
        <v>#REF!</v>
      </c>
      <c r="IO15" t="e">
        <f>AND(#REF!,"AAAAAG/jpfg=")</f>
        <v>#REF!</v>
      </c>
      <c r="IP15" t="e">
        <f>AND(#REF!,"AAAAAG/jpfk=")</f>
        <v>#REF!</v>
      </c>
      <c r="IQ15" t="e">
        <f>AND(#REF!,"AAAAAG/jpfo=")</f>
        <v>#REF!</v>
      </c>
      <c r="IR15" t="e">
        <f>AND(#REF!,"AAAAAG/jpfs=")</f>
        <v>#REF!</v>
      </c>
      <c r="IS15" t="e">
        <f>AND(#REF!,"AAAAAG/jpfw=")</f>
        <v>#REF!</v>
      </c>
      <c r="IT15" t="e">
        <f>AND(#REF!,"AAAAAG/jpf0=")</f>
        <v>#REF!</v>
      </c>
      <c r="IU15" t="e">
        <f>AND(#REF!,"AAAAAG/jpf4=")</f>
        <v>#REF!</v>
      </c>
      <c r="IV15" t="e">
        <f>IF(#REF!,"AAAAAG/jpf8=",0)</f>
        <v>#REF!</v>
      </c>
    </row>
    <row r="16" spans="1:256" x14ac:dyDescent="0.25">
      <c r="A16" t="e">
        <f>AND(#REF!,"AAAAAHX9/gA=")</f>
        <v>#REF!</v>
      </c>
      <c r="B16" t="e">
        <f>AND(#REF!,"AAAAAHX9/gE=")</f>
        <v>#REF!</v>
      </c>
      <c r="C16" t="e">
        <f>AND(#REF!,"AAAAAHX9/gI=")</f>
        <v>#REF!</v>
      </c>
      <c r="D16" t="e">
        <f>AND(#REF!,"AAAAAHX9/gM=")</f>
        <v>#REF!</v>
      </c>
      <c r="E16" t="e">
        <f>AND(#REF!,"AAAAAHX9/gQ=")</f>
        <v>#REF!</v>
      </c>
      <c r="F16" t="e">
        <f>AND(#REF!,"AAAAAHX9/gU=")</f>
        <v>#REF!</v>
      </c>
      <c r="G16" t="e">
        <f>AND(#REF!,"AAAAAHX9/gY=")</f>
        <v>#REF!</v>
      </c>
      <c r="H16" t="e">
        <f>AND(#REF!,"AAAAAHX9/gc=")</f>
        <v>#REF!</v>
      </c>
      <c r="I16" t="e">
        <f>AND(#REF!,"AAAAAHX9/gg=")</f>
        <v>#REF!</v>
      </c>
      <c r="J16" t="e">
        <f>AND(#REF!,"AAAAAHX9/gk=")</f>
        <v>#REF!</v>
      </c>
      <c r="K16" t="e">
        <f>AND(#REF!,"AAAAAHX9/go=")</f>
        <v>#REF!</v>
      </c>
      <c r="L16" t="e">
        <f>AND(#REF!,"AAAAAHX9/gs=")</f>
        <v>#REF!</v>
      </c>
      <c r="M16" t="e">
        <f>AND(#REF!,"AAAAAHX9/gw=")</f>
        <v>#REF!</v>
      </c>
      <c r="N16" t="e">
        <f>AND(#REF!,"AAAAAHX9/g0=")</f>
        <v>#REF!</v>
      </c>
      <c r="O16" t="e">
        <f>AND(#REF!,"AAAAAHX9/g4=")</f>
        <v>#REF!</v>
      </c>
      <c r="P16" t="e">
        <f>AND(#REF!,"AAAAAHX9/g8=")</f>
        <v>#REF!</v>
      </c>
      <c r="Q16" t="e">
        <f>AND(#REF!,"AAAAAHX9/hA=")</f>
        <v>#REF!</v>
      </c>
      <c r="R16" t="e">
        <f>AND(#REF!,"AAAAAHX9/hE=")</f>
        <v>#REF!</v>
      </c>
      <c r="S16" t="e">
        <f>AND(#REF!,"AAAAAHX9/hI=")</f>
        <v>#REF!</v>
      </c>
      <c r="T16" t="e">
        <f>AND(#REF!,"AAAAAHX9/hM=")</f>
        <v>#REF!</v>
      </c>
      <c r="U16" t="e">
        <f>AND(#REF!,"AAAAAHX9/hQ=")</f>
        <v>#REF!</v>
      </c>
      <c r="V16" t="e">
        <f>AND(#REF!,"AAAAAHX9/hU=")</f>
        <v>#REF!</v>
      </c>
      <c r="W16" t="e">
        <f>AND(#REF!,"AAAAAHX9/hY=")</f>
        <v>#REF!</v>
      </c>
      <c r="X16" t="e">
        <f>IF(#REF!,"AAAAAHX9/hc=",0)</f>
        <v>#REF!</v>
      </c>
      <c r="Y16" t="e">
        <f>AND(#REF!,"AAAAAHX9/hg=")</f>
        <v>#REF!</v>
      </c>
      <c r="Z16" t="e">
        <f>AND(#REF!,"AAAAAHX9/hk=")</f>
        <v>#REF!</v>
      </c>
      <c r="AA16" t="e">
        <f>AND(#REF!,"AAAAAHX9/ho=")</f>
        <v>#REF!</v>
      </c>
      <c r="AB16" t="e">
        <f>AND(#REF!,"AAAAAHX9/hs=")</f>
        <v>#REF!</v>
      </c>
      <c r="AC16" t="e">
        <f>AND(#REF!,"AAAAAHX9/hw=")</f>
        <v>#REF!</v>
      </c>
      <c r="AD16" t="e">
        <f>AND(#REF!,"AAAAAHX9/h0=")</f>
        <v>#REF!</v>
      </c>
      <c r="AE16" t="e">
        <f>AND(#REF!,"AAAAAHX9/h4=")</f>
        <v>#REF!</v>
      </c>
      <c r="AF16" t="e">
        <f>AND(#REF!,"AAAAAHX9/h8=")</f>
        <v>#REF!</v>
      </c>
      <c r="AG16" t="e">
        <f>AND(#REF!,"AAAAAHX9/iA=")</f>
        <v>#REF!</v>
      </c>
      <c r="AH16" t="e">
        <f>AND(#REF!,"AAAAAHX9/iE=")</f>
        <v>#REF!</v>
      </c>
      <c r="AI16" t="e">
        <f>AND(#REF!,"AAAAAHX9/iI=")</f>
        <v>#REF!</v>
      </c>
      <c r="AJ16" t="e">
        <f>AND(#REF!,"AAAAAHX9/iM=")</f>
        <v>#REF!</v>
      </c>
      <c r="AK16" t="e">
        <f>AND(#REF!,"AAAAAHX9/iQ=")</f>
        <v>#REF!</v>
      </c>
      <c r="AL16" t="e">
        <f>AND(#REF!,"AAAAAHX9/iU=")</f>
        <v>#REF!</v>
      </c>
      <c r="AM16" t="e">
        <f>AND(#REF!,"AAAAAHX9/iY=")</f>
        <v>#REF!</v>
      </c>
      <c r="AN16" t="e">
        <f>AND(#REF!,"AAAAAHX9/ic=")</f>
        <v>#REF!</v>
      </c>
      <c r="AO16" t="e">
        <f>AND(#REF!,"AAAAAHX9/ig=")</f>
        <v>#REF!</v>
      </c>
      <c r="AP16" t="e">
        <f>AND(#REF!,"AAAAAHX9/ik=")</f>
        <v>#REF!</v>
      </c>
      <c r="AQ16" t="e">
        <f>AND(#REF!,"AAAAAHX9/io=")</f>
        <v>#REF!</v>
      </c>
      <c r="AR16" t="e">
        <f>AND(#REF!,"AAAAAHX9/is=")</f>
        <v>#REF!</v>
      </c>
      <c r="AS16" t="e">
        <f>AND(#REF!,"AAAAAHX9/iw=")</f>
        <v>#REF!</v>
      </c>
      <c r="AT16" t="e">
        <f>AND(#REF!,"AAAAAHX9/i0=")</f>
        <v>#REF!</v>
      </c>
      <c r="AU16" t="e">
        <f>AND(#REF!,"AAAAAHX9/i4=")</f>
        <v>#REF!</v>
      </c>
      <c r="AV16" t="e">
        <f>IF(#REF!,"AAAAAHX9/i8=",0)</f>
        <v>#REF!</v>
      </c>
      <c r="AW16" t="e">
        <f>AND(#REF!,"AAAAAHX9/jA=")</f>
        <v>#REF!</v>
      </c>
      <c r="AX16" t="e">
        <f>AND(#REF!,"AAAAAHX9/jE=")</f>
        <v>#REF!</v>
      </c>
      <c r="AY16" t="e">
        <f>AND(#REF!,"AAAAAHX9/jI=")</f>
        <v>#REF!</v>
      </c>
      <c r="AZ16" t="e">
        <f>AND(#REF!,"AAAAAHX9/jM=")</f>
        <v>#REF!</v>
      </c>
      <c r="BA16" t="e">
        <f>AND(#REF!,"AAAAAHX9/jQ=")</f>
        <v>#REF!</v>
      </c>
      <c r="BB16" t="e">
        <f>AND(#REF!,"AAAAAHX9/jU=")</f>
        <v>#REF!</v>
      </c>
      <c r="BC16" t="e">
        <f>AND(#REF!,"AAAAAHX9/jY=")</f>
        <v>#REF!</v>
      </c>
      <c r="BD16" t="e">
        <f>AND(#REF!,"AAAAAHX9/jc=")</f>
        <v>#REF!</v>
      </c>
      <c r="BE16" t="e">
        <f>AND(#REF!,"AAAAAHX9/jg=")</f>
        <v>#REF!</v>
      </c>
      <c r="BF16" t="e">
        <f>AND(#REF!,"AAAAAHX9/jk=")</f>
        <v>#REF!</v>
      </c>
      <c r="BG16" t="e">
        <f>AND(#REF!,"AAAAAHX9/jo=")</f>
        <v>#REF!</v>
      </c>
      <c r="BH16" t="e">
        <f>AND(#REF!,"AAAAAHX9/js=")</f>
        <v>#REF!</v>
      </c>
      <c r="BI16" t="e">
        <f>AND(#REF!,"AAAAAHX9/jw=")</f>
        <v>#REF!</v>
      </c>
      <c r="BJ16" t="e">
        <f>AND(#REF!,"AAAAAHX9/j0=")</f>
        <v>#REF!</v>
      </c>
      <c r="BK16" t="e">
        <f>AND(#REF!,"AAAAAHX9/j4=")</f>
        <v>#REF!</v>
      </c>
      <c r="BL16" t="e">
        <f>AND(#REF!,"AAAAAHX9/j8=")</f>
        <v>#REF!</v>
      </c>
      <c r="BM16" t="e">
        <f>AND(#REF!,"AAAAAHX9/kA=")</f>
        <v>#REF!</v>
      </c>
      <c r="BN16" t="e">
        <f>AND(#REF!,"AAAAAHX9/kE=")</f>
        <v>#REF!</v>
      </c>
      <c r="BO16" t="e">
        <f>AND(#REF!,"AAAAAHX9/kI=")</f>
        <v>#REF!</v>
      </c>
      <c r="BP16" t="e">
        <f>AND(#REF!,"AAAAAHX9/kM=")</f>
        <v>#REF!</v>
      </c>
      <c r="BQ16" t="e">
        <f>AND(#REF!,"AAAAAHX9/kQ=")</f>
        <v>#REF!</v>
      </c>
      <c r="BR16" t="e">
        <f>AND(#REF!,"AAAAAHX9/kU=")</f>
        <v>#REF!</v>
      </c>
      <c r="BS16" t="e">
        <f>AND(#REF!,"AAAAAHX9/kY=")</f>
        <v>#REF!</v>
      </c>
      <c r="BT16" t="e">
        <f>IF(#REF!,"AAAAAHX9/kc=",0)</f>
        <v>#REF!</v>
      </c>
      <c r="BU16" t="e">
        <f>AND(#REF!,"AAAAAHX9/kg=")</f>
        <v>#REF!</v>
      </c>
      <c r="BV16" t="e">
        <f>AND(#REF!,"AAAAAHX9/kk=")</f>
        <v>#REF!</v>
      </c>
      <c r="BW16" t="e">
        <f>AND(#REF!,"AAAAAHX9/ko=")</f>
        <v>#REF!</v>
      </c>
      <c r="BX16" t="e">
        <f>AND(#REF!,"AAAAAHX9/ks=")</f>
        <v>#REF!</v>
      </c>
      <c r="BY16" t="e">
        <f>AND(#REF!,"AAAAAHX9/kw=")</f>
        <v>#REF!</v>
      </c>
      <c r="BZ16" t="e">
        <f>AND(#REF!,"AAAAAHX9/k0=")</f>
        <v>#REF!</v>
      </c>
      <c r="CA16" t="e">
        <f>AND(#REF!,"AAAAAHX9/k4=")</f>
        <v>#REF!</v>
      </c>
      <c r="CB16" t="e">
        <f>AND(#REF!,"AAAAAHX9/k8=")</f>
        <v>#REF!</v>
      </c>
      <c r="CC16" t="e">
        <f>AND(#REF!,"AAAAAHX9/lA=")</f>
        <v>#REF!</v>
      </c>
      <c r="CD16" t="e">
        <f>AND(#REF!,"AAAAAHX9/lE=")</f>
        <v>#REF!</v>
      </c>
      <c r="CE16" t="e">
        <f>AND(#REF!,"AAAAAHX9/lI=")</f>
        <v>#REF!</v>
      </c>
      <c r="CF16" t="e">
        <f>AND(#REF!,"AAAAAHX9/lM=")</f>
        <v>#REF!</v>
      </c>
      <c r="CG16" t="e">
        <f>AND(#REF!,"AAAAAHX9/lQ=")</f>
        <v>#REF!</v>
      </c>
      <c r="CH16" t="e">
        <f>AND(#REF!,"AAAAAHX9/lU=")</f>
        <v>#REF!</v>
      </c>
      <c r="CI16" t="e">
        <f>AND(#REF!,"AAAAAHX9/lY=")</f>
        <v>#REF!</v>
      </c>
      <c r="CJ16" t="e">
        <f>AND(#REF!,"AAAAAHX9/lc=")</f>
        <v>#REF!</v>
      </c>
      <c r="CK16" t="e">
        <f>AND(#REF!,"AAAAAHX9/lg=")</f>
        <v>#REF!</v>
      </c>
      <c r="CL16" t="e">
        <f>AND(#REF!,"AAAAAHX9/lk=")</f>
        <v>#REF!</v>
      </c>
      <c r="CM16" t="e">
        <f>AND(#REF!,"AAAAAHX9/lo=")</f>
        <v>#REF!</v>
      </c>
      <c r="CN16" t="e">
        <f>AND(#REF!,"AAAAAHX9/ls=")</f>
        <v>#REF!</v>
      </c>
      <c r="CO16" t="e">
        <f>AND(#REF!,"AAAAAHX9/lw=")</f>
        <v>#REF!</v>
      </c>
      <c r="CP16" t="e">
        <f>AND(#REF!,"AAAAAHX9/l0=")</f>
        <v>#REF!</v>
      </c>
      <c r="CQ16" t="e">
        <f>AND(#REF!,"AAAAAHX9/l4=")</f>
        <v>#REF!</v>
      </c>
      <c r="CR16" t="e">
        <f>IF(#REF!,"AAAAAHX9/l8=",0)</f>
        <v>#REF!</v>
      </c>
      <c r="CS16" t="e">
        <f>AND(#REF!,"AAAAAHX9/mA=")</f>
        <v>#REF!</v>
      </c>
      <c r="CT16" t="e">
        <f>AND(#REF!,"AAAAAHX9/mE=")</f>
        <v>#REF!</v>
      </c>
      <c r="CU16" t="e">
        <f>AND(#REF!,"AAAAAHX9/mI=")</f>
        <v>#REF!</v>
      </c>
      <c r="CV16" t="e">
        <f>AND(#REF!,"AAAAAHX9/mM=")</f>
        <v>#REF!</v>
      </c>
      <c r="CW16" t="e">
        <f>AND(#REF!,"AAAAAHX9/mQ=")</f>
        <v>#REF!</v>
      </c>
      <c r="CX16" t="e">
        <f>AND(#REF!,"AAAAAHX9/mU=")</f>
        <v>#REF!</v>
      </c>
      <c r="CY16" t="e">
        <f>AND(#REF!,"AAAAAHX9/mY=")</f>
        <v>#REF!</v>
      </c>
      <c r="CZ16" t="e">
        <f>AND(#REF!,"AAAAAHX9/mc=")</f>
        <v>#REF!</v>
      </c>
      <c r="DA16" t="e">
        <f>AND(#REF!,"AAAAAHX9/mg=")</f>
        <v>#REF!</v>
      </c>
      <c r="DB16" t="e">
        <f>AND(#REF!,"AAAAAHX9/mk=")</f>
        <v>#REF!</v>
      </c>
      <c r="DC16" t="e">
        <f>AND(#REF!,"AAAAAHX9/mo=")</f>
        <v>#REF!</v>
      </c>
      <c r="DD16" t="e">
        <f>AND(#REF!,"AAAAAHX9/ms=")</f>
        <v>#REF!</v>
      </c>
      <c r="DE16" t="e">
        <f>AND(#REF!,"AAAAAHX9/mw=")</f>
        <v>#REF!</v>
      </c>
      <c r="DF16" t="e">
        <f>AND(#REF!,"AAAAAHX9/m0=")</f>
        <v>#REF!</v>
      </c>
      <c r="DG16" t="e">
        <f>AND(#REF!,"AAAAAHX9/m4=")</f>
        <v>#REF!</v>
      </c>
      <c r="DH16" t="e">
        <f>AND(#REF!,"AAAAAHX9/m8=")</f>
        <v>#REF!</v>
      </c>
      <c r="DI16" t="e">
        <f>AND(#REF!,"AAAAAHX9/nA=")</f>
        <v>#REF!</v>
      </c>
      <c r="DJ16" t="e">
        <f>AND(#REF!,"AAAAAHX9/nE=")</f>
        <v>#REF!</v>
      </c>
      <c r="DK16" t="e">
        <f>AND(#REF!,"AAAAAHX9/nI=")</f>
        <v>#REF!</v>
      </c>
      <c r="DL16" t="e">
        <f>AND(#REF!,"AAAAAHX9/nM=")</f>
        <v>#REF!</v>
      </c>
      <c r="DM16" t="e">
        <f>AND(#REF!,"AAAAAHX9/nQ=")</f>
        <v>#REF!</v>
      </c>
      <c r="DN16" t="e">
        <f>AND(#REF!,"AAAAAHX9/nU=")</f>
        <v>#REF!</v>
      </c>
      <c r="DO16" t="e">
        <f>AND(#REF!,"AAAAAHX9/nY=")</f>
        <v>#REF!</v>
      </c>
      <c r="DP16" t="e">
        <f>IF(#REF!,"AAAAAHX9/nc=",0)</f>
        <v>#REF!</v>
      </c>
      <c r="DQ16" t="e">
        <f>AND(#REF!,"AAAAAHX9/ng=")</f>
        <v>#REF!</v>
      </c>
      <c r="DR16" t="e">
        <f>AND(#REF!,"AAAAAHX9/nk=")</f>
        <v>#REF!</v>
      </c>
      <c r="DS16" t="e">
        <f>AND(#REF!,"AAAAAHX9/no=")</f>
        <v>#REF!</v>
      </c>
      <c r="DT16" t="e">
        <f>AND(#REF!,"AAAAAHX9/ns=")</f>
        <v>#REF!</v>
      </c>
      <c r="DU16" t="e">
        <f>AND(#REF!,"AAAAAHX9/nw=")</f>
        <v>#REF!</v>
      </c>
      <c r="DV16" t="e">
        <f>AND(#REF!,"AAAAAHX9/n0=")</f>
        <v>#REF!</v>
      </c>
      <c r="DW16" t="e">
        <f>AND(#REF!,"AAAAAHX9/n4=")</f>
        <v>#REF!</v>
      </c>
      <c r="DX16" t="e">
        <f>AND(#REF!,"AAAAAHX9/n8=")</f>
        <v>#REF!</v>
      </c>
      <c r="DY16" t="e">
        <f>AND(#REF!,"AAAAAHX9/oA=")</f>
        <v>#REF!</v>
      </c>
      <c r="DZ16" t="e">
        <f>AND(#REF!,"AAAAAHX9/oE=")</f>
        <v>#REF!</v>
      </c>
      <c r="EA16" t="e">
        <f>AND(#REF!,"AAAAAHX9/oI=")</f>
        <v>#REF!</v>
      </c>
      <c r="EB16" t="e">
        <f>AND(#REF!,"AAAAAHX9/oM=")</f>
        <v>#REF!</v>
      </c>
      <c r="EC16" t="e">
        <f>AND(#REF!,"AAAAAHX9/oQ=")</f>
        <v>#REF!</v>
      </c>
      <c r="ED16" t="e">
        <f>AND(#REF!,"AAAAAHX9/oU=")</f>
        <v>#REF!</v>
      </c>
      <c r="EE16" t="e">
        <f>AND(#REF!,"AAAAAHX9/oY=")</f>
        <v>#REF!</v>
      </c>
      <c r="EF16" t="e">
        <f>AND(#REF!,"AAAAAHX9/oc=")</f>
        <v>#REF!</v>
      </c>
      <c r="EG16" t="e">
        <f>AND(#REF!,"AAAAAHX9/og=")</f>
        <v>#REF!</v>
      </c>
      <c r="EH16" t="e">
        <f>AND(#REF!,"AAAAAHX9/ok=")</f>
        <v>#REF!</v>
      </c>
      <c r="EI16" t="e">
        <f>AND(#REF!,"AAAAAHX9/oo=")</f>
        <v>#REF!</v>
      </c>
      <c r="EJ16" t="e">
        <f>AND(#REF!,"AAAAAHX9/os=")</f>
        <v>#REF!</v>
      </c>
      <c r="EK16" t="e">
        <f>AND(#REF!,"AAAAAHX9/ow=")</f>
        <v>#REF!</v>
      </c>
      <c r="EL16" t="e">
        <f>AND(#REF!,"AAAAAHX9/o0=")</f>
        <v>#REF!</v>
      </c>
      <c r="EM16" t="e">
        <f>AND(#REF!,"AAAAAHX9/o4=")</f>
        <v>#REF!</v>
      </c>
      <c r="EN16" t="e">
        <f>IF(#REF!,"AAAAAHX9/o8=",0)</f>
        <v>#REF!</v>
      </c>
      <c r="EO16" t="e">
        <f>AND(#REF!,"AAAAAHX9/pA=")</f>
        <v>#REF!</v>
      </c>
      <c r="EP16" t="e">
        <f>AND(#REF!,"AAAAAHX9/pE=")</f>
        <v>#REF!</v>
      </c>
      <c r="EQ16" t="e">
        <f>AND(#REF!,"AAAAAHX9/pI=")</f>
        <v>#REF!</v>
      </c>
      <c r="ER16" t="e">
        <f>AND(#REF!,"AAAAAHX9/pM=")</f>
        <v>#REF!</v>
      </c>
      <c r="ES16" t="e">
        <f>AND(#REF!,"AAAAAHX9/pQ=")</f>
        <v>#REF!</v>
      </c>
      <c r="ET16" t="e">
        <f>AND(#REF!,"AAAAAHX9/pU=")</f>
        <v>#REF!</v>
      </c>
      <c r="EU16" t="e">
        <f>AND(#REF!,"AAAAAHX9/pY=")</f>
        <v>#REF!</v>
      </c>
      <c r="EV16" t="e">
        <f>AND(#REF!,"AAAAAHX9/pc=")</f>
        <v>#REF!</v>
      </c>
      <c r="EW16" t="e">
        <f>AND(#REF!,"AAAAAHX9/pg=")</f>
        <v>#REF!</v>
      </c>
      <c r="EX16" t="e">
        <f>AND(#REF!,"AAAAAHX9/pk=")</f>
        <v>#REF!</v>
      </c>
      <c r="EY16" t="e">
        <f>AND(#REF!,"AAAAAHX9/po=")</f>
        <v>#REF!</v>
      </c>
      <c r="EZ16" t="e">
        <f>AND(#REF!,"AAAAAHX9/ps=")</f>
        <v>#REF!</v>
      </c>
      <c r="FA16" t="e">
        <f>AND(#REF!,"AAAAAHX9/pw=")</f>
        <v>#REF!</v>
      </c>
      <c r="FB16" t="e">
        <f>AND(#REF!,"AAAAAHX9/p0=")</f>
        <v>#REF!</v>
      </c>
      <c r="FC16" t="e">
        <f>AND(#REF!,"AAAAAHX9/p4=")</f>
        <v>#REF!</v>
      </c>
      <c r="FD16" t="e">
        <f>AND(#REF!,"AAAAAHX9/p8=")</f>
        <v>#REF!</v>
      </c>
      <c r="FE16" t="e">
        <f>AND(#REF!,"AAAAAHX9/qA=")</f>
        <v>#REF!</v>
      </c>
      <c r="FF16" t="e">
        <f>AND(#REF!,"AAAAAHX9/qE=")</f>
        <v>#REF!</v>
      </c>
      <c r="FG16" t="e">
        <f>AND(#REF!,"AAAAAHX9/qI=")</f>
        <v>#REF!</v>
      </c>
      <c r="FH16" t="e">
        <f>AND(#REF!,"AAAAAHX9/qM=")</f>
        <v>#REF!</v>
      </c>
      <c r="FI16" t="e">
        <f>AND(#REF!,"AAAAAHX9/qQ=")</f>
        <v>#REF!</v>
      </c>
      <c r="FJ16" t="e">
        <f>AND(#REF!,"AAAAAHX9/qU=")</f>
        <v>#REF!</v>
      </c>
      <c r="FK16" t="e">
        <f>AND(#REF!,"AAAAAHX9/qY=")</f>
        <v>#REF!</v>
      </c>
      <c r="FL16" t="e">
        <f>IF(#REF!,"AAAAAHX9/qc=",0)</f>
        <v>#REF!</v>
      </c>
      <c r="FM16" t="e">
        <f>AND(#REF!,"AAAAAHX9/qg=")</f>
        <v>#REF!</v>
      </c>
      <c r="FN16" t="e">
        <f>AND(#REF!,"AAAAAHX9/qk=")</f>
        <v>#REF!</v>
      </c>
      <c r="FO16" t="e">
        <f>AND(#REF!,"AAAAAHX9/qo=")</f>
        <v>#REF!</v>
      </c>
      <c r="FP16" t="e">
        <f>AND(#REF!,"AAAAAHX9/qs=")</f>
        <v>#REF!</v>
      </c>
      <c r="FQ16" t="e">
        <f>AND(#REF!,"AAAAAHX9/qw=")</f>
        <v>#REF!</v>
      </c>
      <c r="FR16" t="e">
        <f>AND(#REF!,"AAAAAHX9/q0=")</f>
        <v>#REF!</v>
      </c>
      <c r="FS16" t="e">
        <f>AND(#REF!,"AAAAAHX9/q4=")</f>
        <v>#REF!</v>
      </c>
      <c r="FT16" t="e">
        <f>AND(#REF!,"AAAAAHX9/q8=")</f>
        <v>#REF!</v>
      </c>
      <c r="FU16" t="e">
        <f>AND(#REF!,"AAAAAHX9/rA=")</f>
        <v>#REF!</v>
      </c>
      <c r="FV16" t="e">
        <f>AND(#REF!,"AAAAAHX9/rE=")</f>
        <v>#REF!</v>
      </c>
      <c r="FW16" t="e">
        <f>AND(#REF!,"AAAAAHX9/rI=")</f>
        <v>#REF!</v>
      </c>
      <c r="FX16" t="e">
        <f>AND(#REF!,"AAAAAHX9/rM=")</f>
        <v>#REF!</v>
      </c>
      <c r="FY16" t="e">
        <f>AND(#REF!,"AAAAAHX9/rQ=")</f>
        <v>#REF!</v>
      </c>
      <c r="FZ16" t="e">
        <f>AND(#REF!,"AAAAAHX9/rU=")</f>
        <v>#REF!</v>
      </c>
      <c r="GA16" t="e">
        <f>AND(#REF!,"AAAAAHX9/rY=")</f>
        <v>#REF!</v>
      </c>
      <c r="GB16" t="e">
        <f>AND(#REF!,"AAAAAHX9/rc=")</f>
        <v>#REF!</v>
      </c>
      <c r="GC16" t="e">
        <f>AND(#REF!,"AAAAAHX9/rg=")</f>
        <v>#REF!</v>
      </c>
      <c r="GD16" t="e">
        <f>AND(#REF!,"AAAAAHX9/rk=")</f>
        <v>#REF!</v>
      </c>
      <c r="GE16" t="e">
        <f>AND(#REF!,"AAAAAHX9/ro=")</f>
        <v>#REF!</v>
      </c>
      <c r="GF16" t="e">
        <f>AND(#REF!,"AAAAAHX9/rs=")</f>
        <v>#REF!</v>
      </c>
      <c r="GG16" t="e">
        <f>AND(#REF!,"AAAAAHX9/rw=")</f>
        <v>#REF!</v>
      </c>
      <c r="GH16" t="e">
        <f>AND(#REF!,"AAAAAHX9/r0=")</f>
        <v>#REF!</v>
      </c>
      <c r="GI16" t="e">
        <f>AND(#REF!,"AAAAAHX9/r4=")</f>
        <v>#REF!</v>
      </c>
      <c r="GJ16" t="e">
        <f>IF(#REF!,"AAAAAHX9/r8=",0)</f>
        <v>#REF!</v>
      </c>
      <c r="GK16" t="e">
        <f>AND(#REF!,"AAAAAHX9/sA=")</f>
        <v>#REF!</v>
      </c>
      <c r="GL16" t="e">
        <f>AND(#REF!,"AAAAAHX9/sE=")</f>
        <v>#REF!</v>
      </c>
      <c r="GM16" t="e">
        <f>AND(#REF!,"AAAAAHX9/sI=")</f>
        <v>#REF!</v>
      </c>
      <c r="GN16" t="e">
        <f>AND(#REF!,"AAAAAHX9/sM=")</f>
        <v>#REF!</v>
      </c>
      <c r="GO16" t="e">
        <f>AND(#REF!,"AAAAAHX9/sQ=")</f>
        <v>#REF!</v>
      </c>
      <c r="GP16" t="e">
        <f>AND(#REF!,"AAAAAHX9/sU=")</f>
        <v>#REF!</v>
      </c>
      <c r="GQ16" t="e">
        <f>AND(#REF!,"AAAAAHX9/sY=")</f>
        <v>#REF!</v>
      </c>
      <c r="GR16" t="e">
        <f>AND(#REF!,"AAAAAHX9/sc=")</f>
        <v>#REF!</v>
      </c>
      <c r="GS16" t="e">
        <f>AND(#REF!,"AAAAAHX9/sg=")</f>
        <v>#REF!</v>
      </c>
      <c r="GT16" t="e">
        <f>AND(#REF!,"AAAAAHX9/sk=")</f>
        <v>#REF!</v>
      </c>
      <c r="GU16" t="e">
        <f>AND(#REF!,"AAAAAHX9/so=")</f>
        <v>#REF!</v>
      </c>
      <c r="GV16" t="e">
        <f>AND(#REF!,"AAAAAHX9/ss=")</f>
        <v>#REF!</v>
      </c>
      <c r="GW16" t="e">
        <f>AND(#REF!,"AAAAAHX9/sw=")</f>
        <v>#REF!</v>
      </c>
      <c r="GX16" t="e">
        <f>AND(#REF!,"AAAAAHX9/s0=")</f>
        <v>#REF!</v>
      </c>
      <c r="GY16" t="e">
        <f>AND(#REF!,"AAAAAHX9/s4=")</f>
        <v>#REF!</v>
      </c>
      <c r="GZ16" t="e">
        <f>AND(#REF!,"AAAAAHX9/s8=")</f>
        <v>#REF!</v>
      </c>
      <c r="HA16" t="e">
        <f>AND(#REF!,"AAAAAHX9/tA=")</f>
        <v>#REF!</v>
      </c>
      <c r="HB16" t="e">
        <f>AND(#REF!,"AAAAAHX9/tE=")</f>
        <v>#REF!</v>
      </c>
      <c r="HC16" t="e">
        <f>AND(#REF!,"AAAAAHX9/tI=")</f>
        <v>#REF!</v>
      </c>
      <c r="HD16" t="e">
        <f>AND(#REF!,"AAAAAHX9/tM=")</f>
        <v>#REF!</v>
      </c>
      <c r="HE16" t="e">
        <f>AND(#REF!,"AAAAAHX9/tQ=")</f>
        <v>#REF!</v>
      </c>
      <c r="HF16" t="e">
        <f>AND(#REF!,"AAAAAHX9/tU=")</f>
        <v>#REF!</v>
      </c>
      <c r="HG16" t="e">
        <f>AND(#REF!,"AAAAAHX9/tY=")</f>
        <v>#REF!</v>
      </c>
      <c r="HH16" t="e">
        <f>IF(#REF!,"AAAAAHX9/tc=",0)</f>
        <v>#REF!</v>
      </c>
      <c r="HI16" t="e">
        <f>AND(#REF!,"AAAAAHX9/tg=")</f>
        <v>#REF!</v>
      </c>
      <c r="HJ16" t="e">
        <f>AND(#REF!,"AAAAAHX9/tk=")</f>
        <v>#REF!</v>
      </c>
      <c r="HK16" t="e">
        <f>AND(#REF!,"AAAAAHX9/to=")</f>
        <v>#REF!</v>
      </c>
      <c r="HL16" t="e">
        <f>AND(#REF!,"AAAAAHX9/ts=")</f>
        <v>#REF!</v>
      </c>
      <c r="HM16" t="e">
        <f>AND(#REF!,"AAAAAHX9/tw=")</f>
        <v>#REF!</v>
      </c>
      <c r="HN16" t="e">
        <f>AND(#REF!,"AAAAAHX9/t0=")</f>
        <v>#REF!</v>
      </c>
      <c r="HO16" t="e">
        <f>AND(#REF!,"AAAAAHX9/t4=")</f>
        <v>#REF!</v>
      </c>
      <c r="HP16" t="e">
        <f>AND(#REF!,"AAAAAHX9/t8=")</f>
        <v>#REF!</v>
      </c>
      <c r="HQ16" t="e">
        <f>AND(#REF!,"AAAAAHX9/uA=")</f>
        <v>#REF!</v>
      </c>
      <c r="HR16" t="e">
        <f>AND(#REF!,"AAAAAHX9/uE=")</f>
        <v>#REF!</v>
      </c>
      <c r="HS16" t="e">
        <f>AND(#REF!,"AAAAAHX9/uI=")</f>
        <v>#REF!</v>
      </c>
      <c r="HT16" t="e">
        <f>AND(#REF!,"AAAAAHX9/uM=")</f>
        <v>#REF!</v>
      </c>
      <c r="HU16" t="e">
        <f>AND(#REF!,"AAAAAHX9/uQ=")</f>
        <v>#REF!</v>
      </c>
      <c r="HV16" t="e">
        <f>AND(#REF!,"AAAAAHX9/uU=")</f>
        <v>#REF!</v>
      </c>
      <c r="HW16" t="e">
        <f>AND(#REF!,"AAAAAHX9/uY=")</f>
        <v>#REF!</v>
      </c>
      <c r="HX16" t="e">
        <f>AND(#REF!,"AAAAAHX9/uc=")</f>
        <v>#REF!</v>
      </c>
      <c r="HY16" t="e">
        <f>AND(#REF!,"AAAAAHX9/ug=")</f>
        <v>#REF!</v>
      </c>
      <c r="HZ16" t="e">
        <f>AND(#REF!,"AAAAAHX9/uk=")</f>
        <v>#REF!</v>
      </c>
      <c r="IA16" t="e">
        <f>AND(#REF!,"AAAAAHX9/uo=")</f>
        <v>#REF!</v>
      </c>
      <c r="IB16" t="e">
        <f>AND(#REF!,"AAAAAHX9/us=")</f>
        <v>#REF!</v>
      </c>
      <c r="IC16" t="e">
        <f>AND(#REF!,"AAAAAHX9/uw=")</f>
        <v>#REF!</v>
      </c>
      <c r="ID16" t="e">
        <f>AND(#REF!,"AAAAAHX9/u0=")</f>
        <v>#REF!</v>
      </c>
      <c r="IE16" t="e">
        <f>AND(#REF!,"AAAAAHX9/u4=")</f>
        <v>#REF!</v>
      </c>
      <c r="IF16" t="e">
        <f>IF(#REF!,"AAAAAHX9/u8=",0)</f>
        <v>#REF!</v>
      </c>
      <c r="IG16" t="e">
        <f>AND(#REF!,"AAAAAHX9/vA=")</f>
        <v>#REF!</v>
      </c>
      <c r="IH16" t="e">
        <f>AND(#REF!,"AAAAAHX9/vE=")</f>
        <v>#REF!</v>
      </c>
      <c r="II16" t="e">
        <f>AND(#REF!,"AAAAAHX9/vI=")</f>
        <v>#REF!</v>
      </c>
      <c r="IJ16" t="e">
        <f>AND(#REF!,"AAAAAHX9/vM=")</f>
        <v>#REF!</v>
      </c>
      <c r="IK16" t="e">
        <f>AND(#REF!,"AAAAAHX9/vQ=")</f>
        <v>#REF!</v>
      </c>
      <c r="IL16" t="e">
        <f>AND(#REF!,"AAAAAHX9/vU=")</f>
        <v>#REF!</v>
      </c>
      <c r="IM16" t="e">
        <f>AND(#REF!,"AAAAAHX9/vY=")</f>
        <v>#REF!</v>
      </c>
      <c r="IN16" t="e">
        <f>AND(#REF!,"AAAAAHX9/vc=")</f>
        <v>#REF!</v>
      </c>
      <c r="IO16" t="e">
        <f>AND(#REF!,"AAAAAHX9/vg=")</f>
        <v>#REF!</v>
      </c>
      <c r="IP16" t="e">
        <f>AND(#REF!,"AAAAAHX9/vk=")</f>
        <v>#REF!</v>
      </c>
      <c r="IQ16" t="e">
        <f>AND(#REF!,"AAAAAHX9/vo=")</f>
        <v>#REF!</v>
      </c>
      <c r="IR16" t="e">
        <f>AND(#REF!,"AAAAAHX9/vs=")</f>
        <v>#REF!</v>
      </c>
      <c r="IS16" t="e">
        <f>AND(#REF!,"AAAAAHX9/vw=")</f>
        <v>#REF!</v>
      </c>
      <c r="IT16" t="e">
        <f>AND(#REF!,"AAAAAHX9/v0=")</f>
        <v>#REF!</v>
      </c>
      <c r="IU16" t="e">
        <f>AND(#REF!,"AAAAAHX9/v4=")</f>
        <v>#REF!</v>
      </c>
      <c r="IV16" t="e">
        <f>AND(#REF!,"AAAAAHX9/v8=")</f>
        <v>#REF!</v>
      </c>
    </row>
    <row r="17" spans="1:256" x14ac:dyDescent="0.25">
      <c r="A17" t="e">
        <f>AND(#REF!,"AAAAAHefDwA=")</f>
        <v>#REF!</v>
      </c>
      <c r="B17" t="e">
        <f>AND(#REF!,"AAAAAHefDwE=")</f>
        <v>#REF!</v>
      </c>
      <c r="C17" t="e">
        <f>AND(#REF!,"AAAAAHefDwI=")</f>
        <v>#REF!</v>
      </c>
      <c r="D17" t="e">
        <f>AND(#REF!,"AAAAAHefDwM=")</f>
        <v>#REF!</v>
      </c>
      <c r="E17" t="e">
        <f>AND(#REF!,"AAAAAHefDwQ=")</f>
        <v>#REF!</v>
      </c>
      <c r="F17" t="e">
        <f>AND(#REF!,"AAAAAHefDwU=")</f>
        <v>#REF!</v>
      </c>
      <c r="G17" t="e">
        <f>AND(#REF!,"AAAAAHefDwY=")</f>
        <v>#REF!</v>
      </c>
      <c r="H17" t="e">
        <f>IF(#REF!,"AAAAAHefDwc=",0)</f>
        <v>#REF!</v>
      </c>
      <c r="I17" t="e">
        <f>AND(#REF!,"AAAAAHefDwg=")</f>
        <v>#REF!</v>
      </c>
      <c r="J17" t="e">
        <f>AND(#REF!,"AAAAAHefDwk=")</f>
        <v>#REF!</v>
      </c>
      <c r="K17" t="e">
        <f>AND(#REF!,"AAAAAHefDwo=")</f>
        <v>#REF!</v>
      </c>
      <c r="L17" t="e">
        <f>AND(#REF!,"AAAAAHefDws=")</f>
        <v>#REF!</v>
      </c>
      <c r="M17" t="e">
        <f>AND(#REF!,"AAAAAHefDww=")</f>
        <v>#REF!</v>
      </c>
      <c r="N17" t="e">
        <f>AND(#REF!,"AAAAAHefDw0=")</f>
        <v>#REF!</v>
      </c>
      <c r="O17" t="e">
        <f>AND(#REF!,"AAAAAHefDw4=")</f>
        <v>#REF!</v>
      </c>
      <c r="P17" t="e">
        <f>AND(#REF!,"AAAAAHefDw8=")</f>
        <v>#REF!</v>
      </c>
      <c r="Q17" t="e">
        <f>AND(#REF!,"AAAAAHefDxA=")</f>
        <v>#REF!</v>
      </c>
      <c r="R17" t="e">
        <f>AND(#REF!,"AAAAAHefDxE=")</f>
        <v>#REF!</v>
      </c>
      <c r="S17" t="e">
        <f>AND(#REF!,"AAAAAHefDxI=")</f>
        <v>#REF!</v>
      </c>
      <c r="T17" t="e">
        <f>AND(#REF!,"AAAAAHefDxM=")</f>
        <v>#REF!</v>
      </c>
      <c r="U17" t="e">
        <f>AND(#REF!,"AAAAAHefDxQ=")</f>
        <v>#REF!</v>
      </c>
      <c r="V17" t="e">
        <f>AND(#REF!,"AAAAAHefDxU=")</f>
        <v>#REF!</v>
      </c>
      <c r="W17" t="e">
        <f>AND(#REF!,"AAAAAHefDxY=")</f>
        <v>#REF!</v>
      </c>
      <c r="X17" t="e">
        <f>AND(#REF!,"AAAAAHefDxc=")</f>
        <v>#REF!</v>
      </c>
      <c r="Y17" t="e">
        <f>AND(#REF!,"AAAAAHefDxg=")</f>
        <v>#REF!</v>
      </c>
      <c r="Z17" t="e">
        <f>AND(#REF!,"AAAAAHefDxk=")</f>
        <v>#REF!</v>
      </c>
      <c r="AA17" t="e">
        <f>AND(#REF!,"AAAAAHefDxo=")</f>
        <v>#REF!</v>
      </c>
      <c r="AB17" t="e">
        <f>AND(#REF!,"AAAAAHefDxs=")</f>
        <v>#REF!</v>
      </c>
      <c r="AC17" t="e">
        <f>AND(#REF!,"AAAAAHefDxw=")</f>
        <v>#REF!</v>
      </c>
      <c r="AD17" t="e">
        <f>AND(#REF!,"AAAAAHefDx0=")</f>
        <v>#REF!</v>
      </c>
      <c r="AE17" t="e">
        <f>AND(#REF!,"AAAAAHefDx4=")</f>
        <v>#REF!</v>
      </c>
      <c r="AF17" t="e">
        <f>IF(#REF!,"AAAAAHefDx8=",0)</f>
        <v>#REF!</v>
      </c>
      <c r="AG17" t="e">
        <f>AND(#REF!,"AAAAAHefDyA=")</f>
        <v>#REF!</v>
      </c>
      <c r="AH17" t="e">
        <f>AND(#REF!,"AAAAAHefDyE=")</f>
        <v>#REF!</v>
      </c>
      <c r="AI17" t="e">
        <f>AND(#REF!,"AAAAAHefDyI=")</f>
        <v>#REF!</v>
      </c>
      <c r="AJ17" t="e">
        <f>AND(#REF!,"AAAAAHefDyM=")</f>
        <v>#REF!</v>
      </c>
      <c r="AK17" t="e">
        <f>AND(#REF!,"AAAAAHefDyQ=")</f>
        <v>#REF!</v>
      </c>
      <c r="AL17" t="e">
        <f>AND(#REF!,"AAAAAHefDyU=")</f>
        <v>#REF!</v>
      </c>
      <c r="AM17" t="e">
        <f>AND(#REF!,"AAAAAHefDyY=")</f>
        <v>#REF!</v>
      </c>
      <c r="AN17" t="e">
        <f>AND(#REF!,"AAAAAHefDyc=")</f>
        <v>#REF!</v>
      </c>
      <c r="AO17" t="e">
        <f>AND(#REF!,"AAAAAHefDyg=")</f>
        <v>#REF!</v>
      </c>
      <c r="AP17" t="e">
        <f>AND(#REF!,"AAAAAHefDyk=")</f>
        <v>#REF!</v>
      </c>
      <c r="AQ17" t="e">
        <f>AND(#REF!,"AAAAAHefDyo=")</f>
        <v>#REF!</v>
      </c>
      <c r="AR17" t="e">
        <f>AND(#REF!,"AAAAAHefDys=")</f>
        <v>#REF!</v>
      </c>
      <c r="AS17" t="e">
        <f>AND(#REF!,"AAAAAHefDyw=")</f>
        <v>#REF!</v>
      </c>
      <c r="AT17" t="e">
        <f>AND(#REF!,"AAAAAHefDy0=")</f>
        <v>#REF!</v>
      </c>
      <c r="AU17" t="e">
        <f>AND(#REF!,"AAAAAHefDy4=")</f>
        <v>#REF!</v>
      </c>
      <c r="AV17" t="e">
        <f>AND(#REF!,"AAAAAHefDy8=")</f>
        <v>#REF!</v>
      </c>
      <c r="AW17" t="e">
        <f>AND(#REF!,"AAAAAHefDzA=")</f>
        <v>#REF!</v>
      </c>
      <c r="AX17" t="e">
        <f>AND(#REF!,"AAAAAHefDzE=")</f>
        <v>#REF!</v>
      </c>
      <c r="AY17" t="e">
        <f>AND(#REF!,"AAAAAHefDzI=")</f>
        <v>#REF!</v>
      </c>
      <c r="AZ17" t="e">
        <f>AND(#REF!,"AAAAAHefDzM=")</f>
        <v>#REF!</v>
      </c>
      <c r="BA17" t="e">
        <f>AND(#REF!,"AAAAAHefDzQ=")</f>
        <v>#REF!</v>
      </c>
      <c r="BB17" t="e">
        <f>AND(#REF!,"AAAAAHefDzU=")</f>
        <v>#REF!</v>
      </c>
      <c r="BC17" t="e">
        <f>AND(#REF!,"AAAAAHefDzY=")</f>
        <v>#REF!</v>
      </c>
      <c r="BD17" t="e">
        <f>IF(#REF!,"AAAAAHefDzc=",0)</f>
        <v>#REF!</v>
      </c>
      <c r="BE17" t="e">
        <f>AND(#REF!,"AAAAAHefDzg=")</f>
        <v>#REF!</v>
      </c>
      <c r="BF17" t="e">
        <f>AND(#REF!,"AAAAAHefDzk=")</f>
        <v>#REF!</v>
      </c>
      <c r="BG17" t="e">
        <f>AND(#REF!,"AAAAAHefDzo=")</f>
        <v>#REF!</v>
      </c>
      <c r="BH17" t="e">
        <f>AND(#REF!,"AAAAAHefDzs=")</f>
        <v>#REF!</v>
      </c>
      <c r="BI17" t="e">
        <f>AND(#REF!,"AAAAAHefDzw=")</f>
        <v>#REF!</v>
      </c>
      <c r="BJ17" t="e">
        <f>AND(#REF!,"AAAAAHefDz0=")</f>
        <v>#REF!</v>
      </c>
      <c r="BK17" t="e">
        <f>AND(#REF!,"AAAAAHefDz4=")</f>
        <v>#REF!</v>
      </c>
      <c r="BL17" t="e">
        <f>AND(#REF!,"AAAAAHefDz8=")</f>
        <v>#REF!</v>
      </c>
      <c r="BM17" t="e">
        <f>AND(#REF!,"AAAAAHefD0A=")</f>
        <v>#REF!</v>
      </c>
      <c r="BN17" t="e">
        <f>AND(#REF!,"AAAAAHefD0E=")</f>
        <v>#REF!</v>
      </c>
      <c r="BO17" t="e">
        <f>AND(#REF!,"AAAAAHefD0I=")</f>
        <v>#REF!</v>
      </c>
      <c r="BP17" t="e">
        <f>AND(#REF!,"AAAAAHefD0M=")</f>
        <v>#REF!</v>
      </c>
      <c r="BQ17" t="e">
        <f>AND(#REF!,"AAAAAHefD0Q=")</f>
        <v>#REF!</v>
      </c>
      <c r="BR17" t="e">
        <f>AND(#REF!,"AAAAAHefD0U=")</f>
        <v>#REF!</v>
      </c>
      <c r="BS17" t="e">
        <f>AND(#REF!,"AAAAAHefD0Y=")</f>
        <v>#REF!</v>
      </c>
      <c r="BT17" t="e">
        <f>AND(#REF!,"AAAAAHefD0c=")</f>
        <v>#REF!</v>
      </c>
      <c r="BU17" t="e">
        <f>AND(#REF!,"AAAAAHefD0g=")</f>
        <v>#REF!</v>
      </c>
      <c r="BV17" t="e">
        <f>AND(#REF!,"AAAAAHefD0k=")</f>
        <v>#REF!</v>
      </c>
      <c r="BW17" t="e">
        <f>AND(#REF!,"AAAAAHefD0o=")</f>
        <v>#REF!</v>
      </c>
      <c r="BX17" t="e">
        <f>AND(#REF!,"AAAAAHefD0s=")</f>
        <v>#REF!</v>
      </c>
      <c r="BY17" t="e">
        <f>AND(#REF!,"AAAAAHefD0w=")</f>
        <v>#REF!</v>
      </c>
      <c r="BZ17" t="e">
        <f>AND(#REF!,"AAAAAHefD00=")</f>
        <v>#REF!</v>
      </c>
      <c r="CA17" t="e">
        <f>AND(#REF!,"AAAAAHefD04=")</f>
        <v>#REF!</v>
      </c>
      <c r="CB17" t="e">
        <f>IF(#REF!,"AAAAAHefD08=",0)</f>
        <v>#REF!</v>
      </c>
      <c r="CC17" t="e">
        <f>AND(#REF!,"AAAAAHefD1A=")</f>
        <v>#REF!</v>
      </c>
      <c r="CD17" t="e">
        <f>AND(#REF!,"AAAAAHefD1E=")</f>
        <v>#REF!</v>
      </c>
      <c r="CE17" t="e">
        <f>AND(#REF!,"AAAAAHefD1I=")</f>
        <v>#REF!</v>
      </c>
      <c r="CF17" t="e">
        <f>AND(#REF!,"AAAAAHefD1M=")</f>
        <v>#REF!</v>
      </c>
      <c r="CG17" t="e">
        <f>AND(#REF!,"AAAAAHefD1Q=")</f>
        <v>#REF!</v>
      </c>
      <c r="CH17" t="e">
        <f>AND(#REF!,"AAAAAHefD1U=")</f>
        <v>#REF!</v>
      </c>
      <c r="CI17" t="e">
        <f>AND(#REF!,"AAAAAHefD1Y=")</f>
        <v>#REF!</v>
      </c>
      <c r="CJ17" t="e">
        <f>AND(#REF!,"AAAAAHefD1c=")</f>
        <v>#REF!</v>
      </c>
      <c r="CK17" t="e">
        <f>AND(#REF!,"AAAAAHefD1g=")</f>
        <v>#REF!</v>
      </c>
      <c r="CL17" t="e">
        <f>AND(#REF!,"AAAAAHefD1k=")</f>
        <v>#REF!</v>
      </c>
      <c r="CM17" t="e">
        <f>AND(#REF!,"AAAAAHefD1o=")</f>
        <v>#REF!</v>
      </c>
      <c r="CN17" t="e">
        <f>AND(#REF!,"AAAAAHefD1s=")</f>
        <v>#REF!</v>
      </c>
      <c r="CO17" t="e">
        <f>AND(#REF!,"AAAAAHefD1w=")</f>
        <v>#REF!</v>
      </c>
      <c r="CP17" t="e">
        <f>AND(#REF!,"AAAAAHefD10=")</f>
        <v>#REF!</v>
      </c>
      <c r="CQ17" t="e">
        <f>AND(#REF!,"AAAAAHefD14=")</f>
        <v>#REF!</v>
      </c>
      <c r="CR17" t="e">
        <f>AND(#REF!,"AAAAAHefD18=")</f>
        <v>#REF!</v>
      </c>
      <c r="CS17" t="e">
        <f>AND(#REF!,"AAAAAHefD2A=")</f>
        <v>#REF!</v>
      </c>
      <c r="CT17" t="e">
        <f>AND(#REF!,"AAAAAHefD2E=")</f>
        <v>#REF!</v>
      </c>
      <c r="CU17" t="e">
        <f>AND(#REF!,"AAAAAHefD2I=")</f>
        <v>#REF!</v>
      </c>
      <c r="CV17" t="e">
        <f>AND(#REF!,"AAAAAHefD2M=")</f>
        <v>#REF!</v>
      </c>
      <c r="CW17" t="e">
        <f>AND(#REF!,"AAAAAHefD2Q=")</f>
        <v>#REF!</v>
      </c>
      <c r="CX17" t="e">
        <f>AND(#REF!,"AAAAAHefD2U=")</f>
        <v>#REF!</v>
      </c>
      <c r="CY17" t="e">
        <f>AND(#REF!,"AAAAAHefD2Y=")</f>
        <v>#REF!</v>
      </c>
      <c r="CZ17" t="e">
        <f>IF(#REF!,"AAAAAHefD2c=",0)</f>
        <v>#REF!</v>
      </c>
      <c r="DA17" t="e">
        <f>AND(#REF!,"AAAAAHefD2g=")</f>
        <v>#REF!</v>
      </c>
      <c r="DB17" t="e">
        <f>AND(#REF!,"AAAAAHefD2k=")</f>
        <v>#REF!</v>
      </c>
      <c r="DC17" t="e">
        <f>AND(#REF!,"AAAAAHefD2o=")</f>
        <v>#REF!</v>
      </c>
      <c r="DD17" t="e">
        <f>AND(#REF!,"AAAAAHefD2s=")</f>
        <v>#REF!</v>
      </c>
      <c r="DE17" t="e">
        <f>AND(#REF!,"AAAAAHefD2w=")</f>
        <v>#REF!</v>
      </c>
      <c r="DF17" t="e">
        <f>AND(#REF!,"AAAAAHefD20=")</f>
        <v>#REF!</v>
      </c>
      <c r="DG17" t="e">
        <f>AND(#REF!,"AAAAAHefD24=")</f>
        <v>#REF!</v>
      </c>
      <c r="DH17" t="e">
        <f>AND(#REF!,"AAAAAHefD28=")</f>
        <v>#REF!</v>
      </c>
      <c r="DI17" t="e">
        <f>AND(#REF!,"AAAAAHefD3A=")</f>
        <v>#REF!</v>
      </c>
      <c r="DJ17" t="e">
        <f>AND(#REF!,"AAAAAHefD3E=")</f>
        <v>#REF!</v>
      </c>
      <c r="DK17" t="e">
        <f>AND(#REF!,"AAAAAHefD3I=")</f>
        <v>#REF!</v>
      </c>
      <c r="DL17" t="e">
        <f>AND(#REF!,"AAAAAHefD3M=")</f>
        <v>#REF!</v>
      </c>
      <c r="DM17" t="e">
        <f>AND(#REF!,"AAAAAHefD3Q=")</f>
        <v>#REF!</v>
      </c>
      <c r="DN17" t="e">
        <f>AND(#REF!,"AAAAAHefD3U=")</f>
        <v>#REF!</v>
      </c>
      <c r="DO17" t="e">
        <f>AND(#REF!,"AAAAAHefD3Y=")</f>
        <v>#REF!</v>
      </c>
      <c r="DP17" t="e">
        <f>AND(#REF!,"AAAAAHefD3c=")</f>
        <v>#REF!</v>
      </c>
      <c r="DQ17" t="e">
        <f>AND(#REF!,"AAAAAHefD3g=")</f>
        <v>#REF!</v>
      </c>
      <c r="DR17" t="e">
        <f>AND(#REF!,"AAAAAHefD3k=")</f>
        <v>#REF!</v>
      </c>
      <c r="DS17" t="e">
        <f>AND(#REF!,"AAAAAHefD3o=")</f>
        <v>#REF!</v>
      </c>
      <c r="DT17" t="e">
        <f>AND(#REF!,"AAAAAHefD3s=")</f>
        <v>#REF!</v>
      </c>
      <c r="DU17" t="e">
        <f>AND(#REF!,"AAAAAHefD3w=")</f>
        <v>#REF!</v>
      </c>
      <c r="DV17" t="e">
        <f>AND(#REF!,"AAAAAHefD30=")</f>
        <v>#REF!</v>
      </c>
      <c r="DW17" t="e">
        <f>AND(#REF!,"AAAAAHefD34=")</f>
        <v>#REF!</v>
      </c>
      <c r="DX17" t="e">
        <f>IF(#REF!,"AAAAAHefD38=",0)</f>
        <v>#REF!</v>
      </c>
      <c r="DY17" t="e">
        <f>AND(#REF!,"AAAAAHefD4A=")</f>
        <v>#REF!</v>
      </c>
      <c r="DZ17" t="e">
        <f>AND(#REF!,"AAAAAHefD4E=")</f>
        <v>#REF!</v>
      </c>
      <c r="EA17" t="e">
        <f>AND(#REF!,"AAAAAHefD4I=")</f>
        <v>#REF!</v>
      </c>
      <c r="EB17" t="e">
        <f>AND(#REF!,"AAAAAHefD4M=")</f>
        <v>#REF!</v>
      </c>
      <c r="EC17" t="e">
        <f>AND(#REF!,"AAAAAHefD4Q=")</f>
        <v>#REF!</v>
      </c>
      <c r="ED17" t="e">
        <f>AND(#REF!,"AAAAAHefD4U=")</f>
        <v>#REF!</v>
      </c>
      <c r="EE17" t="e">
        <f>AND(#REF!,"AAAAAHefD4Y=")</f>
        <v>#REF!</v>
      </c>
      <c r="EF17" t="e">
        <f>AND(#REF!,"AAAAAHefD4c=")</f>
        <v>#REF!</v>
      </c>
      <c r="EG17" t="e">
        <f>AND(#REF!,"AAAAAHefD4g=")</f>
        <v>#REF!</v>
      </c>
      <c r="EH17" t="e">
        <f>AND(#REF!,"AAAAAHefD4k=")</f>
        <v>#REF!</v>
      </c>
      <c r="EI17" t="e">
        <f>AND(#REF!,"AAAAAHefD4o=")</f>
        <v>#REF!</v>
      </c>
      <c r="EJ17" t="e">
        <f>AND(#REF!,"AAAAAHefD4s=")</f>
        <v>#REF!</v>
      </c>
      <c r="EK17" t="e">
        <f>AND(#REF!,"AAAAAHefD4w=")</f>
        <v>#REF!</v>
      </c>
      <c r="EL17" t="e">
        <f>AND(#REF!,"AAAAAHefD40=")</f>
        <v>#REF!</v>
      </c>
      <c r="EM17" t="e">
        <f>AND(#REF!,"AAAAAHefD44=")</f>
        <v>#REF!</v>
      </c>
      <c r="EN17" t="e">
        <f>AND(#REF!,"AAAAAHefD48=")</f>
        <v>#REF!</v>
      </c>
      <c r="EO17" t="e">
        <f>AND(#REF!,"AAAAAHefD5A=")</f>
        <v>#REF!</v>
      </c>
      <c r="EP17" t="e">
        <f>AND(#REF!,"AAAAAHefD5E=")</f>
        <v>#REF!</v>
      </c>
      <c r="EQ17" t="e">
        <f>AND(#REF!,"AAAAAHefD5I=")</f>
        <v>#REF!</v>
      </c>
      <c r="ER17" t="e">
        <f>AND(#REF!,"AAAAAHefD5M=")</f>
        <v>#REF!</v>
      </c>
      <c r="ES17" t="e">
        <f>AND(#REF!,"AAAAAHefD5Q=")</f>
        <v>#REF!</v>
      </c>
      <c r="ET17" t="e">
        <f>AND(#REF!,"AAAAAHefD5U=")</f>
        <v>#REF!</v>
      </c>
      <c r="EU17" t="e">
        <f>AND(#REF!,"AAAAAHefD5Y=")</f>
        <v>#REF!</v>
      </c>
      <c r="EV17" t="e">
        <f>IF(#REF!,"AAAAAHefD5c=",0)</f>
        <v>#REF!</v>
      </c>
      <c r="EW17" t="e">
        <f>AND(#REF!,"AAAAAHefD5g=")</f>
        <v>#REF!</v>
      </c>
      <c r="EX17" t="e">
        <f>AND(#REF!,"AAAAAHefD5k=")</f>
        <v>#REF!</v>
      </c>
      <c r="EY17" t="e">
        <f>AND(#REF!,"AAAAAHefD5o=")</f>
        <v>#REF!</v>
      </c>
      <c r="EZ17" t="e">
        <f>AND(#REF!,"AAAAAHefD5s=")</f>
        <v>#REF!</v>
      </c>
      <c r="FA17" t="e">
        <f>AND(#REF!,"AAAAAHefD5w=")</f>
        <v>#REF!</v>
      </c>
      <c r="FB17" t="e">
        <f>AND(#REF!,"AAAAAHefD50=")</f>
        <v>#REF!</v>
      </c>
      <c r="FC17" t="e">
        <f>AND(#REF!,"AAAAAHefD54=")</f>
        <v>#REF!</v>
      </c>
      <c r="FD17" t="e">
        <f>AND(#REF!,"AAAAAHefD58=")</f>
        <v>#REF!</v>
      </c>
      <c r="FE17" t="e">
        <f>AND(#REF!,"AAAAAHefD6A=")</f>
        <v>#REF!</v>
      </c>
      <c r="FF17" t="e">
        <f>AND(#REF!,"AAAAAHefD6E=")</f>
        <v>#REF!</v>
      </c>
      <c r="FG17" t="e">
        <f>AND(#REF!,"AAAAAHefD6I=")</f>
        <v>#REF!</v>
      </c>
      <c r="FH17" t="e">
        <f>AND(#REF!,"AAAAAHefD6M=")</f>
        <v>#REF!</v>
      </c>
      <c r="FI17" t="e">
        <f>AND(#REF!,"AAAAAHefD6Q=")</f>
        <v>#REF!</v>
      </c>
      <c r="FJ17" t="e">
        <f>AND(#REF!,"AAAAAHefD6U=")</f>
        <v>#REF!</v>
      </c>
      <c r="FK17" t="e">
        <f>AND(#REF!,"AAAAAHefD6Y=")</f>
        <v>#REF!</v>
      </c>
      <c r="FL17" t="e">
        <f>AND(#REF!,"AAAAAHefD6c=")</f>
        <v>#REF!</v>
      </c>
      <c r="FM17" t="e">
        <f>AND(#REF!,"AAAAAHefD6g=")</f>
        <v>#REF!</v>
      </c>
      <c r="FN17" t="e">
        <f>AND(#REF!,"AAAAAHefD6k=")</f>
        <v>#REF!</v>
      </c>
      <c r="FO17" t="e">
        <f>AND(#REF!,"AAAAAHefD6o=")</f>
        <v>#REF!</v>
      </c>
      <c r="FP17" t="e">
        <f>AND(#REF!,"AAAAAHefD6s=")</f>
        <v>#REF!</v>
      </c>
      <c r="FQ17" t="e">
        <f>AND(#REF!,"AAAAAHefD6w=")</f>
        <v>#REF!</v>
      </c>
      <c r="FR17" t="e">
        <f>AND(#REF!,"AAAAAHefD60=")</f>
        <v>#REF!</v>
      </c>
      <c r="FS17" t="e">
        <f>AND(#REF!,"AAAAAHefD64=")</f>
        <v>#REF!</v>
      </c>
      <c r="FT17" t="e">
        <f>IF(#REF!,"AAAAAHefD68=",0)</f>
        <v>#REF!</v>
      </c>
      <c r="FU17" t="e">
        <f>AND(#REF!,"AAAAAHefD7A=")</f>
        <v>#REF!</v>
      </c>
      <c r="FV17" t="e">
        <f>AND(#REF!,"AAAAAHefD7E=")</f>
        <v>#REF!</v>
      </c>
      <c r="FW17" t="e">
        <f>AND(#REF!,"AAAAAHefD7I=")</f>
        <v>#REF!</v>
      </c>
      <c r="FX17" t="e">
        <f>AND(#REF!,"AAAAAHefD7M=")</f>
        <v>#REF!</v>
      </c>
      <c r="FY17" t="e">
        <f>AND(#REF!,"AAAAAHefD7Q=")</f>
        <v>#REF!</v>
      </c>
      <c r="FZ17" t="e">
        <f>AND(#REF!,"AAAAAHefD7U=")</f>
        <v>#REF!</v>
      </c>
      <c r="GA17" t="e">
        <f>AND(#REF!,"AAAAAHefD7Y=")</f>
        <v>#REF!</v>
      </c>
      <c r="GB17" t="e">
        <f>AND(#REF!,"AAAAAHefD7c=")</f>
        <v>#REF!</v>
      </c>
      <c r="GC17" t="e">
        <f>AND(#REF!,"AAAAAHefD7g=")</f>
        <v>#REF!</v>
      </c>
      <c r="GD17" t="e">
        <f>AND(#REF!,"AAAAAHefD7k=")</f>
        <v>#REF!</v>
      </c>
      <c r="GE17" t="e">
        <f>AND(#REF!,"AAAAAHefD7o=")</f>
        <v>#REF!</v>
      </c>
      <c r="GF17" t="e">
        <f>AND(#REF!,"AAAAAHefD7s=")</f>
        <v>#REF!</v>
      </c>
      <c r="GG17" t="e">
        <f>AND(#REF!,"AAAAAHefD7w=")</f>
        <v>#REF!</v>
      </c>
      <c r="GH17" t="e">
        <f>AND(#REF!,"AAAAAHefD70=")</f>
        <v>#REF!</v>
      </c>
      <c r="GI17" t="e">
        <f>AND(#REF!,"AAAAAHefD74=")</f>
        <v>#REF!</v>
      </c>
      <c r="GJ17" t="e">
        <f>AND(#REF!,"AAAAAHefD78=")</f>
        <v>#REF!</v>
      </c>
      <c r="GK17" t="e">
        <f>AND(#REF!,"AAAAAHefD8A=")</f>
        <v>#REF!</v>
      </c>
      <c r="GL17" t="e">
        <f>AND(#REF!,"AAAAAHefD8E=")</f>
        <v>#REF!</v>
      </c>
      <c r="GM17" t="e">
        <f>AND(#REF!,"AAAAAHefD8I=")</f>
        <v>#REF!</v>
      </c>
      <c r="GN17" t="e">
        <f>AND(#REF!,"AAAAAHefD8M=")</f>
        <v>#REF!</v>
      </c>
      <c r="GO17" t="e">
        <f>AND(#REF!,"AAAAAHefD8Q=")</f>
        <v>#REF!</v>
      </c>
      <c r="GP17" t="e">
        <f>AND(#REF!,"AAAAAHefD8U=")</f>
        <v>#REF!</v>
      </c>
      <c r="GQ17" t="e">
        <f>AND(#REF!,"AAAAAHefD8Y=")</f>
        <v>#REF!</v>
      </c>
      <c r="GR17" t="e">
        <f>IF(#REF!,"AAAAAHefD8c=",0)</f>
        <v>#REF!</v>
      </c>
      <c r="GS17" t="e">
        <f>AND(#REF!,"AAAAAHefD8g=")</f>
        <v>#REF!</v>
      </c>
      <c r="GT17" t="e">
        <f>AND(#REF!,"AAAAAHefD8k=")</f>
        <v>#REF!</v>
      </c>
      <c r="GU17" t="e">
        <f>AND(#REF!,"AAAAAHefD8o=")</f>
        <v>#REF!</v>
      </c>
      <c r="GV17" t="e">
        <f>AND(#REF!,"AAAAAHefD8s=")</f>
        <v>#REF!</v>
      </c>
      <c r="GW17" t="e">
        <f>AND(#REF!,"AAAAAHefD8w=")</f>
        <v>#REF!</v>
      </c>
      <c r="GX17" t="e">
        <f>AND(#REF!,"AAAAAHefD80=")</f>
        <v>#REF!</v>
      </c>
      <c r="GY17" t="e">
        <f>AND(#REF!,"AAAAAHefD84=")</f>
        <v>#REF!</v>
      </c>
      <c r="GZ17" t="e">
        <f>AND(#REF!,"AAAAAHefD88=")</f>
        <v>#REF!</v>
      </c>
      <c r="HA17" t="e">
        <f>AND(#REF!,"AAAAAHefD9A=")</f>
        <v>#REF!</v>
      </c>
      <c r="HB17" t="e">
        <f>AND(#REF!,"AAAAAHefD9E=")</f>
        <v>#REF!</v>
      </c>
      <c r="HC17" t="e">
        <f>AND(#REF!,"AAAAAHefD9I=")</f>
        <v>#REF!</v>
      </c>
      <c r="HD17" t="e">
        <f>AND(#REF!,"AAAAAHefD9M=")</f>
        <v>#REF!</v>
      </c>
      <c r="HE17" t="e">
        <f>AND(#REF!,"AAAAAHefD9Q=")</f>
        <v>#REF!</v>
      </c>
      <c r="HF17" t="e">
        <f>AND(#REF!,"AAAAAHefD9U=")</f>
        <v>#REF!</v>
      </c>
      <c r="HG17" t="e">
        <f>AND(#REF!,"AAAAAHefD9Y=")</f>
        <v>#REF!</v>
      </c>
      <c r="HH17" t="e">
        <f>AND(#REF!,"AAAAAHefD9c=")</f>
        <v>#REF!</v>
      </c>
      <c r="HI17" t="e">
        <f>AND(#REF!,"AAAAAHefD9g=")</f>
        <v>#REF!</v>
      </c>
      <c r="HJ17" t="e">
        <f>AND(#REF!,"AAAAAHefD9k=")</f>
        <v>#REF!</v>
      </c>
      <c r="HK17" t="e">
        <f>AND(#REF!,"AAAAAHefD9o=")</f>
        <v>#REF!</v>
      </c>
      <c r="HL17" t="e">
        <f>AND(#REF!,"AAAAAHefD9s=")</f>
        <v>#REF!</v>
      </c>
      <c r="HM17" t="e">
        <f>AND(#REF!,"AAAAAHefD9w=")</f>
        <v>#REF!</v>
      </c>
      <c r="HN17" t="e">
        <f>AND(#REF!,"AAAAAHefD90=")</f>
        <v>#REF!</v>
      </c>
      <c r="HO17" t="e">
        <f>AND(#REF!,"AAAAAHefD94=")</f>
        <v>#REF!</v>
      </c>
      <c r="HP17" t="e">
        <f>IF(#REF!,"AAAAAHefD98=",0)</f>
        <v>#REF!</v>
      </c>
      <c r="HQ17" t="e">
        <f>AND(#REF!,"AAAAAHefD+A=")</f>
        <v>#REF!</v>
      </c>
      <c r="HR17" t="e">
        <f>AND(#REF!,"AAAAAHefD+E=")</f>
        <v>#REF!</v>
      </c>
      <c r="HS17" t="e">
        <f>AND(#REF!,"AAAAAHefD+I=")</f>
        <v>#REF!</v>
      </c>
      <c r="HT17" t="e">
        <f>AND(#REF!,"AAAAAHefD+M=")</f>
        <v>#REF!</v>
      </c>
      <c r="HU17" t="e">
        <f>AND(#REF!,"AAAAAHefD+Q=")</f>
        <v>#REF!</v>
      </c>
      <c r="HV17" t="e">
        <f>AND(#REF!,"AAAAAHefD+U=")</f>
        <v>#REF!</v>
      </c>
      <c r="HW17" t="e">
        <f>AND(#REF!,"AAAAAHefD+Y=")</f>
        <v>#REF!</v>
      </c>
      <c r="HX17" t="e">
        <f>AND(#REF!,"AAAAAHefD+c=")</f>
        <v>#REF!</v>
      </c>
      <c r="HY17" t="e">
        <f>AND(#REF!,"AAAAAHefD+g=")</f>
        <v>#REF!</v>
      </c>
      <c r="HZ17" t="e">
        <f>AND(#REF!,"AAAAAHefD+k=")</f>
        <v>#REF!</v>
      </c>
      <c r="IA17" t="e">
        <f>AND(#REF!,"AAAAAHefD+o=")</f>
        <v>#REF!</v>
      </c>
      <c r="IB17" t="e">
        <f>AND(#REF!,"AAAAAHefD+s=")</f>
        <v>#REF!</v>
      </c>
      <c r="IC17" t="e">
        <f>AND(#REF!,"AAAAAHefD+w=")</f>
        <v>#REF!</v>
      </c>
      <c r="ID17" t="e">
        <f>AND(#REF!,"AAAAAHefD+0=")</f>
        <v>#REF!</v>
      </c>
      <c r="IE17" t="e">
        <f>AND(#REF!,"AAAAAHefD+4=")</f>
        <v>#REF!</v>
      </c>
      <c r="IF17" t="e">
        <f>AND(#REF!,"AAAAAHefD+8=")</f>
        <v>#REF!</v>
      </c>
      <c r="IG17" t="e">
        <f>AND(#REF!,"AAAAAHefD/A=")</f>
        <v>#REF!</v>
      </c>
      <c r="IH17" t="e">
        <f>AND(#REF!,"AAAAAHefD/E=")</f>
        <v>#REF!</v>
      </c>
      <c r="II17" t="e">
        <f>AND(#REF!,"AAAAAHefD/I=")</f>
        <v>#REF!</v>
      </c>
      <c r="IJ17" t="e">
        <f>AND(#REF!,"AAAAAHefD/M=")</f>
        <v>#REF!</v>
      </c>
      <c r="IK17" t="e">
        <f>AND(#REF!,"AAAAAHefD/Q=")</f>
        <v>#REF!</v>
      </c>
      <c r="IL17" t="e">
        <f>AND(#REF!,"AAAAAHefD/U=")</f>
        <v>#REF!</v>
      </c>
      <c r="IM17" t="e">
        <f>AND(#REF!,"AAAAAHefD/Y=")</f>
        <v>#REF!</v>
      </c>
      <c r="IN17" t="e">
        <f>IF(#REF!,"AAAAAHefD/c=",0)</f>
        <v>#REF!</v>
      </c>
      <c r="IO17" t="e">
        <f>AND(#REF!,"AAAAAHefD/g=")</f>
        <v>#REF!</v>
      </c>
      <c r="IP17" t="e">
        <f>AND(#REF!,"AAAAAHefD/k=")</f>
        <v>#REF!</v>
      </c>
      <c r="IQ17" t="e">
        <f>AND(#REF!,"AAAAAHefD/o=")</f>
        <v>#REF!</v>
      </c>
      <c r="IR17" t="e">
        <f>AND(#REF!,"AAAAAHefD/s=")</f>
        <v>#REF!</v>
      </c>
      <c r="IS17" t="e">
        <f>AND(#REF!,"AAAAAHefD/w=")</f>
        <v>#REF!</v>
      </c>
      <c r="IT17" t="e">
        <f>AND(#REF!,"AAAAAHefD/0=")</f>
        <v>#REF!</v>
      </c>
      <c r="IU17" t="e">
        <f>AND(#REF!,"AAAAAHefD/4=")</f>
        <v>#REF!</v>
      </c>
      <c r="IV17" t="e">
        <f>AND(#REF!,"AAAAAHefD/8=")</f>
        <v>#REF!</v>
      </c>
    </row>
    <row r="18" spans="1:256" x14ac:dyDescent="0.25">
      <c r="A18" t="e">
        <f>AND(#REF!,"AAAAAF36uwA=")</f>
        <v>#REF!</v>
      </c>
      <c r="B18" t="e">
        <f>AND(#REF!,"AAAAAF36uwE=")</f>
        <v>#REF!</v>
      </c>
      <c r="C18" t="e">
        <f>AND(#REF!,"AAAAAF36uwI=")</f>
        <v>#REF!</v>
      </c>
      <c r="D18" t="e">
        <f>AND(#REF!,"AAAAAF36uwM=")</f>
        <v>#REF!</v>
      </c>
      <c r="E18" t="e">
        <f>AND(#REF!,"AAAAAF36uwQ=")</f>
        <v>#REF!</v>
      </c>
      <c r="F18" t="e">
        <f>AND(#REF!,"AAAAAF36uwU=")</f>
        <v>#REF!</v>
      </c>
      <c r="G18" t="e">
        <f>AND(#REF!,"AAAAAF36uwY=")</f>
        <v>#REF!</v>
      </c>
      <c r="H18" t="e">
        <f>AND(#REF!,"AAAAAF36uwc=")</f>
        <v>#REF!</v>
      </c>
      <c r="I18" t="e">
        <f>AND(#REF!,"AAAAAF36uwg=")</f>
        <v>#REF!</v>
      </c>
      <c r="J18" t="e">
        <f>AND(#REF!,"AAAAAF36uwk=")</f>
        <v>#REF!</v>
      </c>
      <c r="K18" t="e">
        <f>AND(#REF!,"AAAAAF36uwo=")</f>
        <v>#REF!</v>
      </c>
      <c r="L18" t="e">
        <f>AND(#REF!,"AAAAAF36uws=")</f>
        <v>#REF!</v>
      </c>
      <c r="M18" t="e">
        <f>AND(#REF!,"AAAAAF36uww=")</f>
        <v>#REF!</v>
      </c>
      <c r="N18" t="e">
        <f>AND(#REF!,"AAAAAF36uw0=")</f>
        <v>#REF!</v>
      </c>
      <c r="O18" t="e">
        <f>AND(#REF!,"AAAAAF36uw4=")</f>
        <v>#REF!</v>
      </c>
      <c r="P18" t="e">
        <f>IF(#REF!,"AAAAAF36uw8=",0)</f>
        <v>#REF!</v>
      </c>
      <c r="Q18" t="e">
        <f>AND(#REF!,"AAAAAF36uxA=")</f>
        <v>#REF!</v>
      </c>
      <c r="R18" t="e">
        <f>AND(#REF!,"AAAAAF36uxE=")</f>
        <v>#REF!</v>
      </c>
      <c r="S18" t="e">
        <f>AND(#REF!,"AAAAAF36uxI=")</f>
        <v>#REF!</v>
      </c>
      <c r="T18" t="e">
        <f>AND(#REF!,"AAAAAF36uxM=")</f>
        <v>#REF!</v>
      </c>
      <c r="U18" t="e">
        <f>AND(#REF!,"AAAAAF36uxQ=")</f>
        <v>#REF!</v>
      </c>
      <c r="V18" t="e">
        <f>AND(#REF!,"AAAAAF36uxU=")</f>
        <v>#REF!</v>
      </c>
      <c r="W18" t="e">
        <f>AND(#REF!,"AAAAAF36uxY=")</f>
        <v>#REF!</v>
      </c>
      <c r="X18" t="e">
        <f>AND(#REF!,"AAAAAF36uxc=")</f>
        <v>#REF!</v>
      </c>
      <c r="Y18" t="e">
        <f>AND(#REF!,"AAAAAF36uxg=")</f>
        <v>#REF!</v>
      </c>
      <c r="Z18" t="e">
        <f>AND(#REF!,"AAAAAF36uxk=")</f>
        <v>#REF!</v>
      </c>
      <c r="AA18" t="e">
        <f>AND(#REF!,"AAAAAF36uxo=")</f>
        <v>#REF!</v>
      </c>
      <c r="AB18" t="e">
        <f>AND(#REF!,"AAAAAF36uxs=")</f>
        <v>#REF!</v>
      </c>
      <c r="AC18" t="e">
        <f>AND(#REF!,"AAAAAF36uxw=")</f>
        <v>#REF!</v>
      </c>
      <c r="AD18" t="e">
        <f>AND(#REF!,"AAAAAF36ux0=")</f>
        <v>#REF!</v>
      </c>
      <c r="AE18" t="e">
        <f>AND(#REF!,"AAAAAF36ux4=")</f>
        <v>#REF!</v>
      </c>
      <c r="AF18" t="e">
        <f>AND(#REF!,"AAAAAF36ux8=")</f>
        <v>#REF!</v>
      </c>
      <c r="AG18" t="e">
        <f>AND(#REF!,"AAAAAF36uyA=")</f>
        <v>#REF!</v>
      </c>
      <c r="AH18" t="e">
        <f>AND(#REF!,"AAAAAF36uyE=")</f>
        <v>#REF!</v>
      </c>
      <c r="AI18" t="e">
        <f>AND(#REF!,"AAAAAF36uyI=")</f>
        <v>#REF!</v>
      </c>
      <c r="AJ18" t="e">
        <f>AND(#REF!,"AAAAAF36uyM=")</f>
        <v>#REF!</v>
      </c>
      <c r="AK18" t="e">
        <f>AND(#REF!,"AAAAAF36uyQ=")</f>
        <v>#REF!</v>
      </c>
      <c r="AL18" t="e">
        <f>AND(#REF!,"AAAAAF36uyU=")</f>
        <v>#REF!</v>
      </c>
      <c r="AM18" t="e">
        <f>AND(#REF!,"AAAAAF36uyY=")</f>
        <v>#REF!</v>
      </c>
      <c r="AN18" t="e">
        <f>IF(#REF!,"AAAAAF36uyc=",0)</f>
        <v>#REF!</v>
      </c>
      <c r="AO18" t="e">
        <f>AND(#REF!,"AAAAAF36uyg=")</f>
        <v>#REF!</v>
      </c>
      <c r="AP18" t="e">
        <f>AND(#REF!,"AAAAAF36uyk=")</f>
        <v>#REF!</v>
      </c>
      <c r="AQ18" t="e">
        <f>AND(#REF!,"AAAAAF36uyo=")</f>
        <v>#REF!</v>
      </c>
      <c r="AR18" t="e">
        <f>AND(#REF!,"AAAAAF36uys=")</f>
        <v>#REF!</v>
      </c>
      <c r="AS18" t="e">
        <f>AND(#REF!,"AAAAAF36uyw=")</f>
        <v>#REF!</v>
      </c>
      <c r="AT18" t="e">
        <f>AND(#REF!,"AAAAAF36uy0=")</f>
        <v>#REF!</v>
      </c>
      <c r="AU18" t="e">
        <f>AND(#REF!,"AAAAAF36uy4=")</f>
        <v>#REF!</v>
      </c>
      <c r="AV18" t="e">
        <f>AND(#REF!,"AAAAAF36uy8=")</f>
        <v>#REF!</v>
      </c>
      <c r="AW18" t="e">
        <f>AND(#REF!,"AAAAAF36uzA=")</f>
        <v>#REF!</v>
      </c>
      <c r="AX18" t="e">
        <f>AND(#REF!,"AAAAAF36uzE=")</f>
        <v>#REF!</v>
      </c>
      <c r="AY18" t="e">
        <f>AND(#REF!,"AAAAAF36uzI=")</f>
        <v>#REF!</v>
      </c>
      <c r="AZ18" t="e">
        <f>AND(#REF!,"AAAAAF36uzM=")</f>
        <v>#REF!</v>
      </c>
      <c r="BA18" t="e">
        <f>AND(#REF!,"AAAAAF36uzQ=")</f>
        <v>#REF!</v>
      </c>
      <c r="BB18" t="e">
        <f>AND(#REF!,"AAAAAF36uzU=")</f>
        <v>#REF!</v>
      </c>
      <c r="BC18" t="e">
        <f>AND(#REF!,"AAAAAF36uzY=")</f>
        <v>#REF!</v>
      </c>
      <c r="BD18" t="e">
        <f>AND(#REF!,"AAAAAF36uzc=")</f>
        <v>#REF!</v>
      </c>
      <c r="BE18" t="e">
        <f>AND(#REF!,"AAAAAF36uzg=")</f>
        <v>#REF!</v>
      </c>
      <c r="BF18" t="e">
        <f>AND(#REF!,"AAAAAF36uzk=")</f>
        <v>#REF!</v>
      </c>
      <c r="BG18" t="e">
        <f>AND(#REF!,"AAAAAF36uzo=")</f>
        <v>#REF!</v>
      </c>
      <c r="BH18" t="e">
        <f>AND(#REF!,"AAAAAF36uzs=")</f>
        <v>#REF!</v>
      </c>
      <c r="BI18" t="e">
        <f>AND(#REF!,"AAAAAF36uzw=")</f>
        <v>#REF!</v>
      </c>
      <c r="BJ18" t="e">
        <f>AND(#REF!,"AAAAAF36uz0=")</f>
        <v>#REF!</v>
      </c>
      <c r="BK18" t="e">
        <f>AND(#REF!,"AAAAAF36uz4=")</f>
        <v>#REF!</v>
      </c>
      <c r="BL18" t="e">
        <f>IF(#REF!,"AAAAAF36uz8=",0)</f>
        <v>#REF!</v>
      </c>
      <c r="BM18" t="e">
        <f>AND(#REF!,"AAAAAF36u0A=")</f>
        <v>#REF!</v>
      </c>
      <c r="BN18" t="e">
        <f>AND(#REF!,"AAAAAF36u0E=")</f>
        <v>#REF!</v>
      </c>
      <c r="BO18" t="e">
        <f>AND(#REF!,"AAAAAF36u0I=")</f>
        <v>#REF!</v>
      </c>
      <c r="BP18" t="e">
        <f>AND(#REF!,"AAAAAF36u0M=")</f>
        <v>#REF!</v>
      </c>
      <c r="BQ18" t="e">
        <f>AND(#REF!,"AAAAAF36u0Q=")</f>
        <v>#REF!</v>
      </c>
      <c r="BR18" t="e">
        <f>AND(#REF!,"AAAAAF36u0U=")</f>
        <v>#REF!</v>
      </c>
      <c r="BS18" t="e">
        <f>AND(#REF!,"AAAAAF36u0Y=")</f>
        <v>#REF!</v>
      </c>
      <c r="BT18" t="e">
        <f>AND(#REF!,"AAAAAF36u0c=")</f>
        <v>#REF!</v>
      </c>
      <c r="BU18" t="e">
        <f>AND(#REF!,"AAAAAF36u0g=")</f>
        <v>#REF!</v>
      </c>
      <c r="BV18" t="e">
        <f>AND(#REF!,"AAAAAF36u0k=")</f>
        <v>#REF!</v>
      </c>
      <c r="BW18" t="e">
        <f>AND(#REF!,"AAAAAF36u0o=")</f>
        <v>#REF!</v>
      </c>
      <c r="BX18" t="e">
        <f>AND(#REF!,"AAAAAF36u0s=")</f>
        <v>#REF!</v>
      </c>
      <c r="BY18" t="e">
        <f>AND(#REF!,"AAAAAF36u0w=")</f>
        <v>#REF!</v>
      </c>
      <c r="BZ18" t="e">
        <f>AND(#REF!,"AAAAAF36u00=")</f>
        <v>#REF!</v>
      </c>
      <c r="CA18" t="e">
        <f>AND(#REF!,"AAAAAF36u04=")</f>
        <v>#REF!</v>
      </c>
      <c r="CB18" t="e">
        <f>AND(#REF!,"AAAAAF36u08=")</f>
        <v>#REF!</v>
      </c>
      <c r="CC18" t="e">
        <f>AND(#REF!,"AAAAAF36u1A=")</f>
        <v>#REF!</v>
      </c>
      <c r="CD18" t="e">
        <f>AND(#REF!,"AAAAAF36u1E=")</f>
        <v>#REF!</v>
      </c>
      <c r="CE18" t="e">
        <f>AND(#REF!,"AAAAAF36u1I=")</f>
        <v>#REF!</v>
      </c>
      <c r="CF18" t="e">
        <f>AND(#REF!,"AAAAAF36u1M=")</f>
        <v>#REF!</v>
      </c>
      <c r="CG18" t="e">
        <f>AND(#REF!,"AAAAAF36u1Q=")</f>
        <v>#REF!</v>
      </c>
      <c r="CH18" t="e">
        <f>AND(#REF!,"AAAAAF36u1U=")</f>
        <v>#REF!</v>
      </c>
      <c r="CI18" t="e">
        <f>AND(#REF!,"AAAAAF36u1Y=")</f>
        <v>#REF!</v>
      </c>
      <c r="CJ18" t="e">
        <f>IF(#REF!,"AAAAAF36u1c=",0)</f>
        <v>#REF!</v>
      </c>
      <c r="CK18" t="e">
        <f>AND(#REF!,"AAAAAF36u1g=")</f>
        <v>#REF!</v>
      </c>
      <c r="CL18" t="e">
        <f>AND(#REF!,"AAAAAF36u1k=")</f>
        <v>#REF!</v>
      </c>
      <c r="CM18" t="e">
        <f>AND(#REF!,"AAAAAF36u1o=")</f>
        <v>#REF!</v>
      </c>
      <c r="CN18" t="e">
        <f>AND(#REF!,"AAAAAF36u1s=")</f>
        <v>#REF!</v>
      </c>
      <c r="CO18" t="e">
        <f>AND(#REF!,"AAAAAF36u1w=")</f>
        <v>#REF!</v>
      </c>
      <c r="CP18" t="e">
        <f>AND(#REF!,"AAAAAF36u10=")</f>
        <v>#REF!</v>
      </c>
      <c r="CQ18" t="e">
        <f>AND(#REF!,"AAAAAF36u14=")</f>
        <v>#REF!</v>
      </c>
      <c r="CR18" t="e">
        <f>AND(#REF!,"AAAAAF36u18=")</f>
        <v>#REF!</v>
      </c>
      <c r="CS18" t="e">
        <f>AND(#REF!,"AAAAAF36u2A=")</f>
        <v>#REF!</v>
      </c>
      <c r="CT18" t="e">
        <f>AND(#REF!,"AAAAAF36u2E=")</f>
        <v>#REF!</v>
      </c>
      <c r="CU18" t="e">
        <f>AND(#REF!,"AAAAAF36u2I=")</f>
        <v>#REF!</v>
      </c>
      <c r="CV18" t="e">
        <f>AND(#REF!,"AAAAAF36u2M=")</f>
        <v>#REF!</v>
      </c>
      <c r="CW18" t="e">
        <f>AND(#REF!,"AAAAAF36u2Q=")</f>
        <v>#REF!</v>
      </c>
      <c r="CX18" t="e">
        <f>AND(#REF!,"AAAAAF36u2U=")</f>
        <v>#REF!</v>
      </c>
      <c r="CY18" t="e">
        <f>AND(#REF!,"AAAAAF36u2Y=")</f>
        <v>#REF!</v>
      </c>
      <c r="CZ18" t="e">
        <f>AND(#REF!,"AAAAAF36u2c=")</f>
        <v>#REF!</v>
      </c>
      <c r="DA18" t="e">
        <f>AND(#REF!,"AAAAAF36u2g=")</f>
        <v>#REF!</v>
      </c>
      <c r="DB18" t="e">
        <f>AND(#REF!,"AAAAAF36u2k=")</f>
        <v>#REF!</v>
      </c>
      <c r="DC18" t="e">
        <f>AND(#REF!,"AAAAAF36u2o=")</f>
        <v>#REF!</v>
      </c>
      <c r="DD18" t="e">
        <f>AND(#REF!,"AAAAAF36u2s=")</f>
        <v>#REF!</v>
      </c>
      <c r="DE18" t="e">
        <f>AND(#REF!,"AAAAAF36u2w=")</f>
        <v>#REF!</v>
      </c>
      <c r="DF18" t="e">
        <f>AND(#REF!,"AAAAAF36u20=")</f>
        <v>#REF!</v>
      </c>
      <c r="DG18" t="e">
        <f>AND(#REF!,"AAAAAF36u24=")</f>
        <v>#REF!</v>
      </c>
      <c r="DH18" t="e">
        <f>IF(#REF!,"AAAAAF36u28=",0)</f>
        <v>#REF!</v>
      </c>
      <c r="DI18" t="e">
        <f>AND(#REF!,"AAAAAF36u3A=")</f>
        <v>#REF!</v>
      </c>
      <c r="DJ18" t="e">
        <f>AND(#REF!,"AAAAAF36u3E=")</f>
        <v>#REF!</v>
      </c>
      <c r="DK18" t="e">
        <f>AND(#REF!,"AAAAAF36u3I=")</f>
        <v>#REF!</v>
      </c>
      <c r="DL18" t="e">
        <f>AND(#REF!,"AAAAAF36u3M=")</f>
        <v>#REF!</v>
      </c>
      <c r="DM18" t="e">
        <f>AND(#REF!,"AAAAAF36u3Q=")</f>
        <v>#REF!</v>
      </c>
      <c r="DN18" t="e">
        <f>AND(#REF!,"AAAAAF36u3U=")</f>
        <v>#REF!</v>
      </c>
      <c r="DO18" t="e">
        <f>AND(#REF!,"AAAAAF36u3Y=")</f>
        <v>#REF!</v>
      </c>
      <c r="DP18" t="e">
        <f>AND(#REF!,"AAAAAF36u3c=")</f>
        <v>#REF!</v>
      </c>
      <c r="DQ18" t="e">
        <f>AND(#REF!,"AAAAAF36u3g=")</f>
        <v>#REF!</v>
      </c>
      <c r="DR18" t="e">
        <f>AND(#REF!,"AAAAAF36u3k=")</f>
        <v>#REF!</v>
      </c>
      <c r="DS18" t="e">
        <f>AND(#REF!,"AAAAAF36u3o=")</f>
        <v>#REF!</v>
      </c>
      <c r="DT18" t="e">
        <f>AND(#REF!,"AAAAAF36u3s=")</f>
        <v>#REF!</v>
      </c>
      <c r="DU18" t="e">
        <f>AND(#REF!,"AAAAAF36u3w=")</f>
        <v>#REF!</v>
      </c>
      <c r="DV18" t="e">
        <f>AND(#REF!,"AAAAAF36u30=")</f>
        <v>#REF!</v>
      </c>
      <c r="DW18" t="e">
        <f>AND(#REF!,"AAAAAF36u34=")</f>
        <v>#REF!</v>
      </c>
      <c r="DX18" t="e">
        <f>AND(#REF!,"AAAAAF36u38=")</f>
        <v>#REF!</v>
      </c>
      <c r="DY18" t="e">
        <f>AND(#REF!,"AAAAAF36u4A=")</f>
        <v>#REF!</v>
      </c>
      <c r="DZ18" t="e">
        <f>AND(#REF!,"AAAAAF36u4E=")</f>
        <v>#REF!</v>
      </c>
      <c r="EA18" t="e">
        <f>AND(#REF!,"AAAAAF36u4I=")</f>
        <v>#REF!</v>
      </c>
      <c r="EB18" t="e">
        <f>AND(#REF!,"AAAAAF36u4M=")</f>
        <v>#REF!</v>
      </c>
      <c r="EC18" t="e">
        <f>AND(#REF!,"AAAAAF36u4Q=")</f>
        <v>#REF!</v>
      </c>
      <c r="ED18" t="e">
        <f>AND(#REF!,"AAAAAF36u4U=")</f>
        <v>#REF!</v>
      </c>
      <c r="EE18" t="e">
        <f>AND(#REF!,"AAAAAF36u4Y=")</f>
        <v>#REF!</v>
      </c>
      <c r="EF18" t="e">
        <f>IF(#REF!,"AAAAAF36u4c=",0)</f>
        <v>#REF!</v>
      </c>
      <c r="EG18" t="e">
        <f>AND(#REF!,"AAAAAF36u4g=")</f>
        <v>#REF!</v>
      </c>
      <c r="EH18" t="e">
        <f>AND(#REF!,"AAAAAF36u4k=")</f>
        <v>#REF!</v>
      </c>
      <c r="EI18" t="e">
        <f>AND(#REF!,"AAAAAF36u4o=")</f>
        <v>#REF!</v>
      </c>
      <c r="EJ18" t="e">
        <f>AND(#REF!,"AAAAAF36u4s=")</f>
        <v>#REF!</v>
      </c>
      <c r="EK18" t="e">
        <f>AND(#REF!,"AAAAAF36u4w=")</f>
        <v>#REF!</v>
      </c>
      <c r="EL18" t="e">
        <f>AND(#REF!,"AAAAAF36u40=")</f>
        <v>#REF!</v>
      </c>
      <c r="EM18" t="e">
        <f>AND(#REF!,"AAAAAF36u44=")</f>
        <v>#REF!</v>
      </c>
      <c r="EN18" t="e">
        <f>AND(#REF!,"AAAAAF36u48=")</f>
        <v>#REF!</v>
      </c>
      <c r="EO18" t="e">
        <f>AND(#REF!,"AAAAAF36u5A=")</f>
        <v>#REF!</v>
      </c>
      <c r="EP18" t="e">
        <f>AND(#REF!,"AAAAAF36u5E=")</f>
        <v>#REF!</v>
      </c>
      <c r="EQ18" t="e">
        <f>AND(#REF!,"AAAAAF36u5I=")</f>
        <v>#REF!</v>
      </c>
      <c r="ER18" t="e">
        <f>AND(#REF!,"AAAAAF36u5M=")</f>
        <v>#REF!</v>
      </c>
      <c r="ES18" t="e">
        <f>AND(#REF!,"AAAAAF36u5Q=")</f>
        <v>#REF!</v>
      </c>
      <c r="ET18" t="e">
        <f>AND(#REF!,"AAAAAF36u5U=")</f>
        <v>#REF!</v>
      </c>
      <c r="EU18" t="e">
        <f>AND(#REF!,"AAAAAF36u5Y=")</f>
        <v>#REF!</v>
      </c>
      <c r="EV18" t="e">
        <f>AND(#REF!,"AAAAAF36u5c=")</f>
        <v>#REF!</v>
      </c>
      <c r="EW18" t="e">
        <f>AND(#REF!,"AAAAAF36u5g=")</f>
        <v>#REF!</v>
      </c>
      <c r="EX18" t="e">
        <f>AND(#REF!,"AAAAAF36u5k=")</f>
        <v>#REF!</v>
      </c>
      <c r="EY18" t="e">
        <f>AND(#REF!,"AAAAAF36u5o=")</f>
        <v>#REF!</v>
      </c>
      <c r="EZ18" t="e">
        <f>AND(#REF!,"AAAAAF36u5s=")</f>
        <v>#REF!</v>
      </c>
      <c r="FA18" t="e">
        <f>AND(#REF!,"AAAAAF36u5w=")</f>
        <v>#REF!</v>
      </c>
      <c r="FB18" t="e">
        <f>AND(#REF!,"AAAAAF36u50=")</f>
        <v>#REF!</v>
      </c>
      <c r="FC18" t="e">
        <f>AND(#REF!,"AAAAAF36u54=")</f>
        <v>#REF!</v>
      </c>
      <c r="FD18" t="e">
        <f>IF(#REF!,"AAAAAF36u58=",0)</f>
        <v>#REF!</v>
      </c>
      <c r="FE18" t="e">
        <f>AND(#REF!,"AAAAAF36u6A=")</f>
        <v>#REF!</v>
      </c>
      <c r="FF18" t="e">
        <f>AND(#REF!,"AAAAAF36u6E=")</f>
        <v>#REF!</v>
      </c>
      <c r="FG18" t="e">
        <f>AND(#REF!,"AAAAAF36u6I=")</f>
        <v>#REF!</v>
      </c>
      <c r="FH18" t="e">
        <f>AND(#REF!,"AAAAAF36u6M=")</f>
        <v>#REF!</v>
      </c>
      <c r="FI18" t="e">
        <f>AND(#REF!,"AAAAAF36u6Q=")</f>
        <v>#REF!</v>
      </c>
      <c r="FJ18" t="e">
        <f>AND(#REF!,"AAAAAF36u6U=")</f>
        <v>#REF!</v>
      </c>
      <c r="FK18" t="e">
        <f>AND(#REF!,"AAAAAF36u6Y=")</f>
        <v>#REF!</v>
      </c>
      <c r="FL18" t="e">
        <f>AND(#REF!,"AAAAAF36u6c=")</f>
        <v>#REF!</v>
      </c>
      <c r="FM18" t="e">
        <f>AND(#REF!,"AAAAAF36u6g=")</f>
        <v>#REF!</v>
      </c>
      <c r="FN18" t="e">
        <f>AND(#REF!,"AAAAAF36u6k=")</f>
        <v>#REF!</v>
      </c>
      <c r="FO18" t="e">
        <f>AND(#REF!,"AAAAAF36u6o=")</f>
        <v>#REF!</v>
      </c>
      <c r="FP18" t="e">
        <f>AND(#REF!,"AAAAAF36u6s=")</f>
        <v>#REF!</v>
      </c>
      <c r="FQ18" t="e">
        <f>AND(#REF!,"AAAAAF36u6w=")</f>
        <v>#REF!</v>
      </c>
      <c r="FR18" t="e">
        <f>AND(#REF!,"AAAAAF36u60=")</f>
        <v>#REF!</v>
      </c>
      <c r="FS18" t="e">
        <f>AND(#REF!,"AAAAAF36u64=")</f>
        <v>#REF!</v>
      </c>
      <c r="FT18" t="e">
        <f>AND(#REF!,"AAAAAF36u68=")</f>
        <v>#REF!</v>
      </c>
      <c r="FU18" t="e">
        <f>AND(#REF!,"AAAAAF36u7A=")</f>
        <v>#REF!</v>
      </c>
      <c r="FV18" t="e">
        <f>AND(#REF!,"AAAAAF36u7E=")</f>
        <v>#REF!</v>
      </c>
      <c r="FW18" t="e">
        <f>AND(#REF!,"AAAAAF36u7I=")</f>
        <v>#REF!</v>
      </c>
      <c r="FX18" t="e">
        <f>AND(#REF!,"AAAAAF36u7M=")</f>
        <v>#REF!</v>
      </c>
      <c r="FY18" t="e">
        <f>AND(#REF!,"AAAAAF36u7Q=")</f>
        <v>#REF!</v>
      </c>
      <c r="FZ18" t="e">
        <f>AND(#REF!,"AAAAAF36u7U=")</f>
        <v>#REF!</v>
      </c>
      <c r="GA18" t="e">
        <f>AND(#REF!,"AAAAAF36u7Y=")</f>
        <v>#REF!</v>
      </c>
      <c r="GB18" t="e">
        <f>IF(#REF!,"AAAAAF36u7c=",0)</f>
        <v>#REF!</v>
      </c>
      <c r="GC18" t="e">
        <f>AND(#REF!,"AAAAAF36u7g=")</f>
        <v>#REF!</v>
      </c>
      <c r="GD18" t="e">
        <f>AND(#REF!,"AAAAAF36u7k=")</f>
        <v>#REF!</v>
      </c>
      <c r="GE18" t="e">
        <f>AND(#REF!,"AAAAAF36u7o=")</f>
        <v>#REF!</v>
      </c>
      <c r="GF18" t="e">
        <f>AND(#REF!,"AAAAAF36u7s=")</f>
        <v>#REF!</v>
      </c>
      <c r="GG18" t="e">
        <f>AND(#REF!,"AAAAAF36u7w=")</f>
        <v>#REF!</v>
      </c>
      <c r="GH18" t="e">
        <f>AND(#REF!,"AAAAAF36u70=")</f>
        <v>#REF!</v>
      </c>
      <c r="GI18" t="e">
        <f>AND(#REF!,"AAAAAF36u74=")</f>
        <v>#REF!</v>
      </c>
      <c r="GJ18" t="e">
        <f>AND(#REF!,"AAAAAF36u78=")</f>
        <v>#REF!</v>
      </c>
      <c r="GK18" t="e">
        <f>AND(#REF!,"AAAAAF36u8A=")</f>
        <v>#REF!</v>
      </c>
      <c r="GL18" t="e">
        <f>AND(#REF!,"AAAAAF36u8E=")</f>
        <v>#REF!</v>
      </c>
      <c r="GM18" t="e">
        <f>AND(#REF!,"AAAAAF36u8I=")</f>
        <v>#REF!</v>
      </c>
      <c r="GN18" t="e">
        <f>AND(#REF!,"AAAAAF36u8M=")</f>
        <v>#REF!</v>
      </c>
      <c r="GO18" t="e">
        <f>AND(#REF!,"AAAAAF36u8Q=")</f>
        <v>#REF!</v>
      </c>
      <c r="GP18" t="e">
        <f>AND(#REF!,"AAAAAF36u8U=")</f>
        <v>#REF!</v>
      </c>
      <c r="GQ18" t="e">
        <f>AND(#REF!,"AAAAAF36u8Y=")</f>
        <v>#REF!</v>
      </c>
      <c r="GR18" t="e">
        <f>AND(#REF!,"AAAAAF36u8c=")</f>
        <v>#REF!</v>
      </c>
      <c r="GS18" t="e">
        <f>AND(#REF!,"AAAAAF36u8g=")</f>
        <v>#REF!</v>
      </c>
      <c r="GT18" t="e">
        <f>AND(#REF!,"AAAAAF36u8k=")</f>
        <v>#REF!</v>
      </c>
      <c r="GU18" t="e">
        <f>AND(#REF!,"AAAAAF36u8o=")</f>
        <v>#REF!</v>
      </c>
      <c r="GV18" t="e">
        <f>AND(#REF!,"AAAAAF36u8s=")</f>
        <v>#REF!</v>
      </c>
      <c r="GW18" t="e">
        <f>AND(#REF!,"AAAAAF36u8w=")</f>
        <v>#REF!</v>
      </c>
      <c r="GX18" t="e">
        <f>AND(#REF!,"AAAAAF36u80=")</f>
        <v>#REF!</v>
      </c>
      <c r="GY18" t="e">
        <f>AND(#REF!,"AAAAAF36u84=")</f>
        <v>#REF!</v>
      </c>
      <c r="GZ18" t="e">
        <f>IF(#REF!,"AAAAAF36u88=",0)</f>
        <v>#REF!</v>
      </c>
      <c r="HA18" t="e">
        <f>AND(#REF!,"AAAAAF36u9A=")</f>
        <v>#REF!</v>
      </c>
      <c r="HB18" t="e">
        <f>AND(#REF!,"AAAAAF36u9E=")</f>
        <v>#REF!</v>
      </c>
      <c r="HC18" t="e">
        <f>AND(#REF!,"AAAAAF36u9I=")</f>
        <v>#REF!</v>
      </c>
      <c r="HD18" t="e">
        <f>AND(#REF!,"AAAAAF36u9M=")</f>
        <v>#REF!</v>
      </c>
      <c r="HE18" t="e">
        <f>AND(#REF!,"AAAAAF36u9Q=")</f>
        <v>#REF!</v>
      </c>
      <c r="HF18" t="e">
        <f>AND(#REF!,"AAAAAF36u9U=")</f>
        <v>#REF!</v>
      </c>
      <c r="HG18" t="e">
        <f>AND(#REF!,"AAAAAF36u9Y=")</f>
        <v>#REF!</v>
      </c>
      <c r="HH18" t="e">
        <f>AND(#REF!,"AAAAAF36u9c=")</f>
        <v>#REF!</v>
      </c>
      <c r="HI18" t="e">
        <f>AND(#REF!,"AAAAAF36u9g=")</f>
        <v>#REF!</v>
      </c>
      <c r="HJ18" t="e">
        <f>AND(#REF!,"AAAAAF36u9k=")</f>
        <v>#REF!</v>
      </c>
      <c r="HK18" t="e">
        <f>AND(#REF!,"AAAAAF36u9o=")</f>
        <v>#REF!</v>
      </c>
      <c r="HL18" t="e">
        <f>AND(#REF!,"AAAAAF36u9s=")</f>
        <v>#REF!</v>
      </c>
      <c r="HM18" t="e">
        <f>AND(#REF!,"AAAAAF36u9w=")</f>
        <v>#REF!</v>
      </c>
      <c r="HN18" t="e">
        <f>AND(#REF!,"AAAAAF36u90=")</f>
        <v>#REF!</v>
      </c>
      <c r="HO18" t="e">
        <f>AND(#REF!,"AAAAAF36u94=")</f>
        <v>#REF!</v>
      </c>
      <c r="HP18" t="e">
        <f>AND(#REF!,"AAAAAF36u98=")</f>
        <v>#REF!</v>
      </c>
      <c r="HQ18" t="e">
        <f>AND(#REF!,"AAAAAF36u+A=")</f>
        <v>#REF!</v>
      </c>
      <c r="HR18" t="e">
        <f>AND(#REF!,"AAAAAF36u+E=")</f>
        <v>#REF!</v>
      </c>
      <c r="HS18" t="e">
        <f>AND(#REF!,"AAAAAF36u+I=")</f>
        <v>#REF!</v>
      </c>
      <c r="HT18" t="e">
        <f>AND(#REF!,"AAAAAF36u+M=")</f>
        <v>#REF!</v>
      </c>
      <c r="HU18" t="e">
        <f>AND(#REF!,"AAAAAF36u+Q=")</f>
        <v>#REF!</v>
      </c>
      <c r="HV18" t="e">
        <f>AND(#REF!,"AAAAAF36u+U=")</f>
        <v>#REF!</v>
      </c>
      <c r="HW18" t="e">
        <f>AND(#REF!,"AAAAAF36u+Y=")</f>
        <v>#REF!</v>
      </c>
      <c r="HX18" t="e">
        <f>IF(#REF!,"AAAAAF36u+c=",0)</f>
        <v>#REF!</v>
      </c>
      <c r="HY18" t="e">
        <f>AND(#REF!,"AAAAAF36u+g=")</f>
        <v>#REF!</v>
      </c>
      <c r="HZ18" t="e">
        <f>AND(#REF!,"AAAAAF36u+k=")</f>
        <v>#REF!</v>
      </c>
      <c r="IA18" t="e">
        <f>AND(#REF!,"AAAAAF36u+o=")</f>
        <v>#REF!</v>
      </c>
      <c r="IB18" t="e">
        <f>AND(#REF!,"AAAAAF36u+s=")</f>
        <v>#REF!</v>
      </c>
      <c r="IC18" t="e">
        <f>AND(#REF!,"AAAAAF36u+w=")</f>
        <v>#REF!</v>
      </c>
      <c r="ID18" t="e">
        <f>AND(#REF!,"AAAAAF36u+0=")</f>
        <v>#REF!</v>
      </c>
      <c r="IE18" t="e">
        <f>AND(#REF!,"AAAAAF36u+4=")</f>
        <v>#REF!</v>
      </c>
      <c r="IF18" t="e">
        <f>AND(#REF!,"AAAAAF36u+8=")</f>
        <v>#REF!</v>
      </c>
      <c r="IG18" t="e">
        <f>AND(#REF!,"AAAAAF36u/A=")</f>
        <v>#REF!</v>
      </c>
      <c r="IH18" t="e">
        <f>AND(#REF!,"AAAAAF36u/E=")</f>
        <v>#REF!</v>
      </c>
      <c r="II18" t="e">
        <f>AND(#REF!,"AAAAAF36u/I=")</f>
        <v>#REF!</v>
      </c>
      <c r="IJ18" t="e">
        <f>AND(#REF!,"AAAAAF36u/M=")</f>
        <v>#REF!</v>
      </c>
      <c r="IK18" t="e">
        <f>AND(#REF!,"AAAAAF36u/Q=")</f>
        <v>#REF!</v>
      </c>
      <c r="IL18" t="e">
        <f>AND(#REF!,"AAAAAF36u/U=")</f>
        <v>#REF!</v>
      </c>
      <c r="IM18" t="e">
        <f>AND(#REF!,"AAAAAF36u/Y=")</f>
        <v>#REF!</v>
      </c>
      <c r="IN18" t="e">
        <f>AND(#REF!,"AAAAAF36u/c=")</f>
        <v>#REF!</v>
      </c>
      <c r="IO18" t="e">
        <f>AND(#REF!,"AAAAAF36u/g=")</f>
        <v>#REF!</v>
      </c>
      <c r="IP18" t="e">
        <f>AND(#REF!,"AAAAAF36u/k=")</f>
        <v>#REF!</v>
      </c>
      <c r="IQ18" t="e">
        <f>AND(#REF!,"AAAAAF36u/o=")</f>
        <v>#REF!</v>
      </c>
      <c r="IR18" t="e">
        <f>AND(#REF!,"AAAAAF36u/s=")</f>
        <v>#REF!</v>
      </c>
      <c r="IS18" t="e">
        <f>AND(#REF!,"AAAAAF36u/w=")</f>
        <v>#REF!</v>
      </c>
      <c r="IT18" t="e">
        <f>AND(#REF!,"AAAAAF36u/0=")</f>
        <v>#REF!</v>
      </c>
      <c r="IU18" t="e">
        <f>AND(#REF!,"AAAAAF36u/4=")</f>
        <v>#REF!</v>
      </c>
      <c r="IV18" t="e">
        <f>IF(#REF!,"AAAAAF36u/8=",0)</f>
        <v>#REF!</v>
      </c>
    </row>
    <row r="19" spans="1:256" x14ac:dyDescent="0.25">
      <c r="A19" t="e">
        <f>AND(#REF!,"AAAAAH7/+wA=")</f>
        <v>#REF!</v>
      </c>
      <c r="B19" t="e">
        <f>AND(#REF!,"AAAAAH7/+wE=")</f>
        <v>#REF!</v>
      </c>
      <c r="C19" t="e">
        <f>AND(#REF!,"AAAAAH7/+wI=")</f>
        <v>#REF!</v>
      </c>
      <c r="D19" t="e">
        <f>AND(#REF!,"AAAAAH7/+wM=")</f>
        <v>#REF!</v>
      </c>
      <c r="E19" t="e">
        <f>AND(#REF!,"AAAAAH7/+wQ=")</f>
        <v>#REF!</v>
      </c>
      <c r="F19" t="e">
        <f>AND(#REF!,"AAAAAH7/+wU=")</f>
        <v>#REF!</v>
      </c>
      <c r="G19" t="e">
        <f>AND(#REF!,"AAAAAH7/+wY=")</f>
        <v>#REF!</v>
      </c>
      <c r="H19" t="e">
        <f>AND(#REF!,"AAAAAH7/+wc=")</f>
        <v>#REF!</v>
      </c>
      <c r="I19" t="e">
        <f>AND(#REF!,"AAAAAH7/+wg=")</f>
        <v>#REF!</v>
      </c>
      <c r="J19" t="e">
        <f>AND(#REF!,"AAAAAH7/+wk=")</f>
        <v>#REF!</v>
      </c>
      <c r="K19" t="e">
        <f>AND(#REF!,"AAAAAH7/+wo=")</f>
        <v>#REF!</v>
      </c>
      <c r="L19" t="e">
        <f>AND(#REF!,"AAAAAH7/+ws=")</f>
        <v>#REF!</v>
      </c>
      <c r="M19" t="e">
        <f>AND(#REF!,"AAAAAH7/+ww=")</f>
        <v>#REF!</v>
      </c>
      <c r="N19" t="e">
        <f>AND(#REF!,"AAAAAH7/+w0=")</f>
        <v>#REF!</v>
      </c>
      <c r="O19" t="e">
        <f>AND(#REF!,"AAAAAH7/+w4=")</f>
        <v>#REF!</v>
      </c>
      <c r="P19" t="e">
        <f>AND(#REF!,"AAAAAH7/+w8=")</f>
        <v>#REF!</v>
      </c>
      <c r="Q19" t="e">
        <f>AND(#REF!,"AAAAAH7/+xA=")</f>
        <v>#REF!</v>
      </c>
      <c r="R19" t="e">
        <f>AND(#REF!,"AAAAAH7/+xE=")</f>
        <v>#REF!</v>
      </c>
      <c r="S19" t="e">
        <f>AND(#REF!,"AAAAAH7/+xI=")</f>
        <v>#REF!</v>
      </c>
      <c r="T19" t="e">
        <f>AND(#REF!,"AAAAAH7/+xM=")</f>
        <v>#REF!</v>
      </c>
      <c r="U19" t="e">
        <f>AND(#REF!,"AAAAAH7/+xQ=")</f>
        <v>#REF!</v>
      </c>
      <c r="V19" t="e">
        <f>AND(#REF!,"AAAAAH7/+xU=")</f>
        <v>#REF!</v>
      </c>
      <c r="W19" t="e">
        <f>AND(#REF!,"AAAAAH7/+xY=")</f>
        <v>#REF!</v>
      </c>
      <c r="X19" t="e">
        <f>IF(#REF!,"AAAAAH7/+xc=",0)</f>
        <v>#REF!</v>
      </c>
      <c r="Y19" t="e">
        <f>AND(#REF!,"AAAAAH7/+xg=")</f>
        <v>#REF!</v>
      </c>
      <c r="Z19" t="e">
        <f>AND(#REF!,"AAAAAH7/+xk=")</f>
        <v>#REF!</v>
      </c>
      <c r="AA19" t="e">
        <f>AND(#REF!,"AAAAAH7/+xo=")</f>
        <v>#REF!</v>
      </c>
      <c r="AB19" t="e">
        <f>AND(#REF!,"AAAAAH7/+xs=")</f>
        <v>#REF!</v>
      </c>
      <c r="AC19" t="e">
        <f>AND(#REF!,"AAAAAH7/+xw=")</f>
        <v>#REF!</v>
      </c>
      <c r="AD19" t="e">
        <f>AND(#REF!,"AAAAAH7/+x0=")</f>
        <v>#REF!</v>
      </c>
      <c r="AE19" t="e">
        <f>AND(#REF!,"AAAAAH7/+x4=")</f>
        <v>#REF!</v>
      </c>
      <c r="AF19" t="e">
        <f>AND(#REF!,"AAAAAH7/+x8=")</f>
        <v>#REF!</v>
      </c>
      <c r="AG19" t="e">
        <f>AND(#REF!,"AAAAAH7/+yA=")</f>
        <v>#REF!</v>
      </c>
      <c r="AH19" t="e">
        <f>AND(#REF!,"AAAAAH7/+yE=")</f>
        <v>#REF!</v>
      </c>
      <c r="AI19" t="e">
        <f>AND(#REF!,"AAAAAH7/+yI=")</f>
        <v>#REF!</v>
      </c>
      <c r="AJ19" t="e">
        <f>AND(#REF!,"AAAAAH7/+yM=")</f>
        <v>#REF!</v>
      </c>
      <c r="AK19" t="e">
        <f>AND(#REF!,"AAAAAH7/+yQ=")</f>
        <v>#REF!</v>
      </c>
      <c r="AL19" t="e">
        <f>AND(#REF!,"AAAAAH7/+yU=")</f>
        <v>#REF!</v>
      </c>
      <c r="AM19" t="e">
        <f>AND(#REF!,"AAAAAH7/+yY=")</f>
        <v>#REF!</v>
      </c>
      <c r="AN19" t="e">
        <f>AND(#REF!,"AAAAAH7/+yc=")</f>
        <v>#REF!</v>
      </c>
      <c r="AO19" t="e">
        <f>AND(#REF!,"AAAAAH7/+yg=")</f>
        <v>#REF!</v>
      </c>
      <c r="AP19" t="e">
        <f>AND(#REF!,"AAAAAH7/+yk=")</f>
        <v>#REF!</v>
      </c>
      <c r="AQ19" t="e">
        <f>AND(#REF!,"AAAAAH7/+yo=")</f>
        <v>#REF!</v>
      </c>
      <c r="AR19" t="e">
        <f>AND(#REF!,"AAAAAH7/+ys=")</f>
        <v>#REF!</v>
      </c>
      <c r="AS19" t="e">
        <f>AND(#REF!,"AAAAAH7/+yw=")</f>
        <v>#REF!</v>
      </c>
      <c r="AT19" t="e">
        <f>AND(#REF!,"AAAAAH7/+y0=")</f>
        <v>#REF!</v>
      </c>
      <c r="AU19" t="e">
        <f>AND(#REF!,"AAAAAH7/+y4=")</f>
        <v>#REF!</v>
      </c>
      <c r="AV19" t="e">
        <f>IF(#REF!,"AAAAAH7/+y8=",0)</f>
        <v>#REF!</v>
      </c>
      <c r="AW19" t="e">
        <f>AND(#REF!,"AAAAAH7/+zA=")</f>
        <v>#REF!</v>
      </c>
      <c r="AX19" t="e">
        <f>AND(#REF!,"AAAAAH7/+zE=")</f>
        <v>#REF!</v>
      </c>
      <c r="AY19" t="e">
        <f>AND(#REF!,"AAAAAH7/+zI=")</f>
        <v>#REF!</v>
      </c>
      <c r="AZ19" t="e">
        <f>AND(#REF!,"AAAAAH7/+zM=")</f>
        <v>#REF!</v>
      </c>
      <c r="BA19" t="e">
        <f>AND(#REF!,"AAAAAH7/+zQ=")</f>
        <v>#REF!</v>
      </c>
      <c r="BB19" t="e">
        <f>AND(#REF!,"AAAAAH7/+zU=")</f>
        <v>#REF!</v>
      </c>
      <c r="BC19" t="e">
        <f>AND(#REF!,"AAAAAH7/+zY=")</f>
        <v>#REF!</v>
      </c>
      <c r="BD19" t="e">
        <f>AND(#REF!,"AAAAAH7/+zc=")</f>
        <v>#REF!</v>
      </c>
      <c r="BE19" t="e">
        <f>AND(#REF!,"AAAAAH7/+zg=")</f>
        <v>#REF!</v>
      </c>
      <c r="BF19" t="e">
        <f>AND(#REF!,"AAAAAH7/+zk=")</f>
        <v>#REF!</v>
      </c>
      <c r="BG19" t="e">
        <f>AND(#REF!,"AAAAAH7/+zo=")</f>
        <v>#REF!</v>
      </c>
      <c r="BH19" t="e">
        <f>AND(#REF!,"AAAAAH7/+zs=")</f>
        <v>#REF!</v>
      </c>
      <c r="BI19" t="e">
        <f>AND(#REF!,"AAAAAH7/+zw=")</f>
        <v>#REF!</v>
      </c>
      <c r="BJ19" t="e">
        <f>AND(#REF!,"AAAAAH7/+z0=")</f>
        <v>#REF!</v>
      </c>
      <c r="BK19" t="e">
        <f>AND(#REF!,"AAAAAH7/+z4=")</f>
        <v>#REF!</v>
      </c>
      <c r="BL19" t="e">
        <f>AND(#REF!,"AAAAAH7/+z8=")</f>
        <v>#REF!</v>
      </c>
      <c r="BM19" t="e">
        <f>AND(#REF!,"AAAAAH7/+0A=")</f>
        <v>#REF!</v>
      </c>
      <c r="BN19" t="e">
        <f>AND(#REF!,"AAAAAH7/+0E=")</f>
        <v>#REF!</v>
      </c>
      <c r="BO19" t="e">
        <f>AND(#REF!,"AAAAAH7/+0I=")</f>
        <v>#REF!</v>
      </c>
      <c r="BP19" t="e">
        <f>AND(#REF!,"AAAAAH7/+0M=")</f>
        <v>#REF!</v>
      </c>
      <c r="BQ19" t="e">
        <f>AND(#REF!,"AAAAAH7/+0Q=")</f>
        <v>#REF!</v>
      </c>
      <c r="BR19" t="e">
        <f>AND(#REF!,"AAAAAH7/+0U=")</f>
        <v>#REF!</v>
      </c>
      <c r="BS19" t="e">
        <f>AND(#REF!,"AAAAAH7/+0Y=")</f>
        <v>#REF!</v>
      </c>
      <c r="BT19" t="e">
        <f>IF(#REF!,"AAAAAH7/+0c=",0)</f>
        <v>#REF!</v>
      </c>
      <c r="BU19" t="e">
        <f>AND(#REF!,"AAAAAH7/+0g=")</f>
        <v>#REF!</v>
      </c>
      <c r="BV19" t="e">
        <f>AND(#REF!,"AAAAAH7/+0k=")</f>
        <v>#REF!</v>
      </c>
      <c r="BW19" t="e">
        <f>AND(#REF!,"AAAAAH7/+0o=")</f>
        <v>#REF!</v>
      </c>
      <c r="BX19" t="e">
        <f>AND(#REF!,"AAAAAH7/+0s=")</f>
        <v>#REF!</v>
      </c>
      <c r="BY19" t="e">
        <f>AND(#REF!,"AAAAAH7/+0w=")</f>
        <v>#REF!</v>
      </c>
      <c r="BZ19" t="e">
        <f>AND(#REF!,"AAAAAH7/+00=")</f>
        <v>#REF!</v>
      </c>
      <c r="CA19" t="e">
        <f>AND(#REF!,"AAAAAH7/+04=")</f>
        <v>#REF!</v>
      </c>
      <c r="CB19" t="e">
        <f>AND(#REF!,"AAAAAH7/+08=")</f>
        <v>#REF!</v>
      </c>
      <c r="CC19" t="e">
        <f>AND(#REF!,"AAAAAH7/+1A=")</f>
        <v>#REF!</v>
      </c>
      <c r="CD19" t="e">
        <f>AND(#REF!,"AAAAAH7/+1E=")</f>
        <v>#REF!</v>
      </c>
      <c r="CE19" t="e">
        <f>AND(#REF!,"AAAAAH7/+1I=")</f>
        <v>#REF!</v>
      </c>
      <c r="CF19" t="e">
        <f>AND(#REF!,"AAAAAH7/+1M=")</f>
        <v>#REF!</v>
      </c>
      <c r="CG19" t="e">
        <f>AND(#REF!,"AAAAAH7/+1Q=")</f>
        <v>#REF!</v>
      </c>
      <c r="CH19" t="e">
        <f>AND(#REF!,"AAAAAH7/+1U=")</f>
        <v>#REF!</v>
      </c>
      <c r="CI19" t="e">
        <f>AND(#REF!,"AAAAAH7/+1Y=")</f>
        <v>#REF!</v>
      </c>
      <c r="CJ19" t="e">
        <f>AND(#REF!,"AAAAAH7/+1c=")</f>
        <v>#REF!</v>
      </c>
      <c r="CK19" t="e">
        <f>AND(#REF!,"AAAAAH7/+1g=")</f>
        <v>#REF!</v>
      </c>
      <c r="CL19" t="e">
        <f>AND(#REF!,"AAAAAH7/+1k=")</f>
        <v>#REF!</v>
      </c>
      <c r="CM19" t="e">
        <f>AND(#REF!,"AAAAAH7/+1o=")</f>
        <v>#REF!</v>
      </c>
      <c r="CN19" t="e">
        <f>AND(#REF!,"AAAAAH7/+1s=")</f>
        <v>#REF!</v>
      </c>
      <c r="CO19" t="e">
        <f>AND(#REF!,"AAAAAH7/+1w=")</f>
        <v>#REF!</v>
      </c>
      <c r="CP19" t="e">
        <f>AND(#REF!,"AAAAAH7/+10=")</f>
        <v>#REF!</v>
      </c>
      <c r="CQ19" t="e">
        <f>AND(#REF!,"AAAAAH7/+14=")</f>
        <v>#REF!</v>
      </c>
      <c r="CR19" t="e">
        <f>IF(#REF!,"AAAAAH7/+18=",0)</f>
        <v>#REF!</v>
      </c>
      <c r="CS19" t="e">
        <f>AND(#REF!,"AAAAAH7/+2A=")</f>
        <v>#REF!</v>
      </c>
      <c r="CT19" t="e">
        <f>AND(#REF!,"AAAAAH7/+2E=")</f>
        <v>#REF!</v>
      </c>
      <c r="CU19" t="e">
        <f>AND(#REF!,"AAAAAH7/+2I=")</f>
        <v>#REF!</v>
      </c>
      <c r="CV19" t="e">
        <f>AND(#REF!,"AAAAAH7/+2M=")</f>
        <v>#REF!</v>
      </c>
      <c r="CW19" t="e">
        <f>AND(#REF!,"AAAAAH7/+2Q=")</f>
        <v>#REF!</v>
      </c>
      <c r="CX19" t="e">
        <f>AND(#REF!,"AAAAAH7/+2U=")</f>
        <v>#REF!</v>
      </c>
      <c r="CY19" t="e">
        <f>AND(#REF!,"AAAAAH7/+2Y=")</f>
        <v>#REF!</v>
      </c>
      <c r="CZ19" t="e">
        <f>AND(#REF!,"AAAAAH7/+2c=")</f>
        <v>#REF!</v>
      </c>
      <c r="DA19" t="e">
        <f>AND(#REF!,"AAAAAH7/+2g=")</f>
        <v>#REF!</v>
      </c>
      <c r="DB19" t="e">
        <f>AND(#REF!,"AAAAAH7/+2k=")</f>
        <v>#REF!</v>
      </c>
      <c r="DC19" t="e">
        <f>AND(#REF!,"AAAAAH7/+2o=")</f>
        <v>#REF!</v>
      </c>
      <c r="DD19" t="e">
        <f>AND(#REF!,"AAAAAH7/+2s=")</f>
        <v>#REF!</v>
      </c>
      <c r="DE19" t="e">
        <f>AND(#REF!,"AAAAAH7/+2w=")</f>
        <v>#REF!</v>
      </c>
      <c r="DF19" t="e">
        <f>AND(#REF!,"AAAAAH7/+20=")</f>
        <v>#REF!</v>
      </c>
      <c r="DG19" t="e">
        <f>AND(#REF!,"AAAAAH7/+24=")</f>
        <v>#REF!</v>
      </c>
      <c r="DH19" t="e">
        <f>AND(#REF!,"AAAAAH7/+28=")</f>
        <v>#REF!</v>
      </c>
      <c r="DI19" t="e">
        <f>AND(#REF!,"AAAAAH7/+3A=")</f>
        <v>#REF!</v>
      </c>
      <c r="DJ19" t="e">
        <f>AND(#REF!,"AAAAAH7/+3E=")</f>
        <v>#REF!</v>
      </c>
      <c r="DK19" t="e">
        <f>AND(#REF!,"AAAAAH7/+3I=")</f>
        <v>#REF!</v>
      </c>
      <c r="DL19" t="e">
        <f>AND(#REF!,"AAAAAH7/+3M=")</f>
        <v>#REF!</v>
      </c>
      <c r="DM19" t="e">
        <f>AND(#REF!,"AAAAAH7/+3Q=")</f>
        <v>#REF!</v>
      </c>
      <c r="DN19" t="e">
        <f>AND(#REF!,"AAAAAH7/+3U=")</f>
        <v>#REF!</v>
      </c>
      <c r="DO19" t="e">
        <f>AND(#REF!,"AAAAAH7/+3Y=")</f>
        <v>#REF!</v>
      </c>
      <c r="DP19" t="e">
        <f>IF(#REF!,"AAAAAH7/+3c=",0)</f>
        <v>#REF!</v>
      </c>
      <c r="DQ19" t="e">
        <f>AND(#REF!,"AAAAAH7/+3g=")</f>
        <v>#REF!</v>
      </c>
      <c r="DR19" t="e">
        <f>AND(#REF!,"AAAAAH7/+3k=")</f>
        <v>#REF!</v>
      </c>
      <c r="DS19" t="e">
        <f>AND(#REF!,"AAAAAH7/+3o=")</f>
        <v>#REF!</v>
      </c>
      <c r="DT19" t="e">
        <f>AND(#REF!,"AAAAAH7/+3s=")</f>
        <v>#REF!</v>
      </c>
      <c r="DU19" t="e">
        <f>AND(#REF!,"AAAAAH7/+3w=")</f>
        <v>#REF!</v>
      </c>
      <c r="DV19" t="e">
        <f>AND(#REF!,"AAAAAH7/+30=")</f>
        <v>#REF!</v>
      </c>
      <c r="DW19" t="e">
        <f>AND(#REF!,"AAAAAH7/+34=")</f>
        <v>#REF!</v>
      </c>
      <c r="DX19" t="e">
        <f>AND(#REF!,"AAAAAH7/+38=")</f>
        <v>#REF!</v>
      </c>
      <c r="DY19" t="e">
        <f>AND(#REF!,"AAAAAH7/+4A=")</f>
        <v>#REF!</v>
      </c>
      <c r="DZ19" t="e">
        <f>AND(#REF!,"AAAAAH7/+4E=")</f>
        <v>#REF!</v>
      </c>
      <c r="EA19" t="e">
        <f>AND(#REF!,"AAAAAH7/+4I=")</f>
        <v>#REF!</v>
      </c>
      <c r="EB19" t="e">
        <f>AND(#REF!,"AAAAAH7/+4M=")</f>
        <v>#REF!</v>
      </c>
      <c r="EC19" t="e">
        <f>AND(#REF!,"AAAAAH7/+4Q=")</f>
        <v>#REF!</v>
      </c>
      <c r="ED19" t="e">
        <f>AND(#REF!,"AAAAAH7/+4U=")</f>
        <v>#REF!</v>
      </c>
      <c r="EE19" t="e">
        <f>AND(#REF!,"AAAAAH7/+4Y=")</f>
        <v>#REF!</v>
      </c>
      <c r="EF19" t="e">
        <f>AND(#REF!,"AAAAAH7/+4c=")</f>
        <v>#REF!</v>
      </c>
      <c r="EG19" t="e">
        <f>AND(#REF!,"AAAAAH7/+4g=")</f>
        <v>#REF!</v>
      </c>
      <c r="EH19" t="e">
        <f>AND(#REF!,"AAAAAH7/+4k=")</f>
        <v>#REF!</v>
      </c>
      <c r="EI19" t="e">
        <f>AND(#REF!,"AAAAAH7/+4o=")</f>
        <v>#REF!</v>
      </c>
      <c r="EJ19" t="e">
        <f>AND(#REF!,"AAAAAH7/+4s=")</f>
        <v>#REF!</v>
      </c>
      <c r="EK19" t="e">
        <f>AND(#REF!,"AAAAAH7/+4w=")</f>
        <v>#REF!</v>
      </c>
      <c r="EL19" t="e">
        <f>AND(#REF!,"AAAAAH7/+40=")</f>
        <v>#REF!</v>
      </c>
      <c r="EM19" t="e">
        <f>AND(#REF!,"AAAAAH7/+44=")</f>
        <v>#REF!</v>
      </c>
      <c r="EN19" t="e">
        <f>IF(#REF!,"AAAAAH7/+48=",0)</f>
        <v>#REF!</v>
      </c>
      <c r="EO19" t="e">
        <f>AND(#REF!,"AAAAAH7/+5A=")</f>
        <v>#REF!</v>
      </c>
      <c r="EP19" t="e">
        <f>AND(#REF!,"AAAAAH7/+5E=")</f>
        <v>#REF!</v>
      </c>
      <c r="EQ19" t="e">
        <f>AND(#REF!,"AAAAAH7/+5I=")</f>
        <v>#REF!</v>
      </c>
      <c r="ER19" t="e">
        <f>AND(#REF!,"AAAAAH7/+5M=")</f>
        <v>#REF!</v>
      </c>
      <c r="ES19" t="e">
        <f>AND(#REF!,"AAAAAH7/+5Q=")</f>
        <v>#REF!</v>
      </c>
      <c r="ET19" t="e">
        <f>AND(#REF!,"AAAAAH7/+5U=")</f>
        <v>#REF!</v>
      </c>
      <c r="EU19" t="e">
        <f>AND(#REF!,"AAAAAH7/+5Y=")</f>
        <v>#REF!</v>
      </c>
      <c r="EV19" t="e">
        <f>AND(#REF!,"AAAAAH7/+5c=")</f>
        <v>#REF!</v>
      </c>
      <c r="EW19" t="e">
        <f>AND(#REF!,"AAAAAH7/+5g=")</f>
        <v>#REF!</v>
      </c>
      <c r="EX19" t="e">
        <f>AND(#REF!,"AAAAAH7/+5k=")</f>
        <v>#REF!</v>
      </c>
      <c r="EY19" t="e">
        <f>AND(#REF!,"AAAAAH7/+5o=")</f>
        <v>#REF!</v>
      </c>
      <c r="EZ19" t="e">
        <f>AND(#REF!,"AAAAAH7/+5s=")</f>
        <v>#REF!</v>
      </c>
      <c r="FA19" t="e">
        <f>AND(#REF!,"AAAAAH7/+5w=")</f>
        <v>#REF!</v>
      </c>
      <c r="FB19" t="e">
        <f>AND(#REF!,"AAAAAH7/+50=")</f>
        <v>#REF!</v>
      </c>
      <c r="FC19" t="e">
        <f>AND(#REF!,"AAAAAH7/+54=")</f>
        <v>#REF!</v>
      </c>
      <c r="FD19" t="e">
        <f>AND(#REF!,"AAAAAH7/+58=")</f>
        <v>#REF!</v>
      </c>
      <c r="FE19" t="e">
        <f>AND(#REF!,"AAAAAH7/+6A=")</f>
        <v>#REF!</v>
      </c>
      <c r="FF19" t="e">
        <f>AND(#REF!,"AAAAAH7/+6E=")</f>
        <v>#REF!</v>
      </c>
      <c r="FG19" t="e">
        <f>AND(#REF!,"AAAAAH7/+6I=")</f>
        <v>#REF!</v>
      </c>
      <c r="FH19" t="e">
        <f>AND(#REF!,"AAAAAH7/+6M=")</f>
        <v>#REF!</v>
      </c>
      <c r="FI19" t="e">
        <f>AND(#REF!,"AAAAAH7/+6Q=")</f>
        <v>#REF!</v>
      </c>
      <c r="FJ19" t="e">
        <f>AND(#REF!,"AAAAAH7/+6U=")</f>
        <v>#REF!</v>
      </c>
      <c r="FK19" t="e">
        <f>AND(#REF!,"AAAAAH7/+6Y=")</f>
        <v>#REF!</v>
      </c>
      <c r="FL19" t="e">
        <f>IF(#REF!,"AAAAAH7/+6c=",0)</f>
        <v>#REF!</v>
      </c>
      <c r="FM19" t="e">
        <f>AND(#REF!,"AAAAAH7/+6g=")</f>
        <v>#REF!</v>
      </c>
      <c r="FN19" t="e">
        <f>AND(#REF!,"AAAAAH7/+6k=")</f>
        <v>#REF!</v>
      </c>
      <c r="FO19" t="e">
        <f>AND(#REF!,"AAAAAH7/+6o=")</f>
        <v>#REF!</v>
      </c>
      <c r="FP19" t="e">
        <f>AND(#REF!,"AAAAAH7/+6s=")</f>
        <v>#REF!</v>
      </c>
      <c r="FQ19" t="e">
        <f>AND(#REF!,"AAAAAH7/+6w=")</f>
        <v>#REF!</v>
      </c>
      <c r="FR19" t="e">
        <f>AND(#REF!,"AAAAAH7/+60=")</f>
        <v>#REF!</v>
      </c>
      <c r="FS19" t="e">
        <f>AND(#REF!,"AAAAAH7/+64=")</f>
        <v>#REF!</v>
      </c>
      <c r="FT19" t="e">
        <f>AND(#REF!,"AAAAAH7/+68=")</f>
        <v>#REF!</v>
      </c>
      <c r="FU19" t="e">
        <f>AND(#REF!,"AAAAAH7/+7A=")</f>
        <v>#REF!</v>
      </c>
      <c r="FV19" t="e">
        <f>AND(#REF!,"AAAAAH7/+7E=")</f>
        <v>#REF!</v>
      </c>
      <c r="FW19" t="e">
        <f>AND(#REF!,"AAAAAH7/+7I=")</f>
        <v>#REF!</v>
      </c>
      <c r="FX19" t="e">
        <f>AND(#REF!,"AAAAAH7/+7M=")</f>
        <v>#REF!</v>
      </c>
      <c r="FY19" t="e">
        <f>AND(#REF!,"AAAAAH7/+7Q=")</f>
        <v>#REF!</v>
      </c>
      <c r="FZ19" t="e">
        <f>AND(#REF!,"AAAAAH7/+7U=")</f>
        <v>#REF!</v>
      </c>
      <c r="GA19" t="e">
        <f>AND(#REF!,"AAAAAH7/+7Y=")</f>
        <v>#REF!</v>
      </c>
      <c r="GB19" t="e">
        <f>AND(#REF!,"AAAAAH7/+7c=")</f>
        <v>#REF!</v>
      </c>
      <c r="GC19" t="e">
        <f>AND(#REF!,"AAAAAH7/+7g=")</f>
        <v>#REF!</v>
      </c>
      <c r="GD19" t="e">
        <f>AND(#REF!,"AAAAAH7/+7k=")</f>
        <v>#REF!</v>
      </c>
      <c r="GE19" t="e">
        <f>AND(#REF!,"AAAAAH7/+7o=")</f>
        <v>#REF!</v>
      </c>
      <c r="GF19" t="e">
        <f>AND(#REF!,"AAAAAH7/+7s=")</f>
        <v>#REF!</v>
      </c>
      <c r="GG19" t="e">
        <f>AND(#REF!,"AAAAAH7/+7w=")</f>
        <v>#REF!</v>
      </c>
      <c r="GH19" t="e">
        <f>AND(#REF!,"AAAAAH7/+70=")</f>
        <v>#REF!</v>
      </c>
      <c r="GI19" t="e">
        <f>AND(#REF!,"AAAAAH7/+74=")</f>
        <v>#REF!</v>
      </c>
      <c r="GJ19" t="e">
        <f>IF(#REF!,"AAAAAH7/+78=",0)</f>
        <v>#REF!</v>
      </c>
      <c r="GK19" t="e">
        <f>AND(#REF!,"AAAAAH7/+8A=")</f>
        <v>#REF!</v>
      </c>
      <c r="GL19" t="e">
        <f>AND(#REF!,"AAAAAH7/+8E=")</f>
        <v>#REF!</v>
      </c>
      <c r="GM19" t="e">
        <f>AND(#REF!,"AAAAAH7/+8I=")</f>
        <v>#REF!</v>
      </c>
      <c r="GN19" t="e">
        <f>AND(#REF!,"AAAAAH7/+8M=")</f>
        <v>#REF!</v>
      </c>
      <c r="GO19" t="e">
        <f>AND(#REF!,"AAAAAH7/+8Q=")</f>
        <v>#REF!</v>
      </c>
      <c r="GP19" t="e">
        <f>AND(#REF!,"AAAAAH7/+8U=")</f>
        <v>#REF!</v>
      </c>
      <c r="GQ19" t="e">
        <f>AND(#REF!,"AAAAAH7/+8Y=")</f>
        <v>#REF!</v>
      </c>
      <c r="GR19" t="e">
        <f>AND(#REF!,"AAAAAH7/+8c=")</f>
        <v>#REF!</v>
      </c>
      <c r="GS19" t="e">
        <f>AND(#REF!,"AAAAAH7/+8g=")</f>
        <v>#REF!</v>
      </c>
      <c r="GT19" t="e">
        <f>AND(#REF!,"AAAAAH7/+8k=")</f>
        <v>#REF!</v>
      </c>
      <c r="GU19" t="e">
        <f>AND(#REF!,"AAAAAH7/+8o=")</f>
        <v>#REF!</v>
      </c>
      <c r="GV19" t="e">
        <f>AND(#REF!,"AAAAAH7/+8s=")</f>
        <v>#REF!</v>
      </c>
      <c r="GW19" t="e">
        <f>AND(#REF!,"AAAAAH7/+8w=")</f>
        <v>#REF!</v>
      </c>
      <c r="GX19" t="e">
        <f>AND(#REF!,"AAAAAH7/+80=")</f>
        <v>#REF!</v>
      </c>
      <c r="GY19" t="e">
        <f>AND(#REF!,"AAAAAH7/+84=")</f>
        <v>#REF!</v>
      </c>
      <c r="GZ19" t="e">
        <f>AND(#REF!,"AAAAAH7/+88=")</f>
        <v>#REF!</v>
      </c>
      <c r="HA19" t="e">
        <f>AND(#REF!,"AAAAAH7/+9A=")</f>
        <v>#REF!</v>
      </c>
      <c r="HB19" t="e">
        <f>AND(#REF!,"AAAAAH7/+9E=")</f>
        <v>#REF!</v>
      </c>
      <c r="HC19" t="e">
        <f>AND(#REF!,"AAAAAH7/+9I=")</f>
        <v>#REF!</v>
      </c>
      <c r="HD19" t="e">
        <f>AND(#REF!,"AAAAAH7/+9M=")</f>
        <v>#REF!</v>
      </c>
      <c r="HE19" t="e">
        <f>AND(#REF!,"AAAAAH7/+9Q=")</f>
        <v>#REF!</v>
      </c>
      <c r="HF19" t="e">
        <f>AND(#REF!,"AAAAAH7/+9U=")</f>
        <v>#REF!</v>
      </c>
      <c r="HG19" t="e">
        <f>AND(#REF!,"AAAAAH7/+9Y=")</f>
        <v>#REF!</v>
      </c>
      <c r="HH19" t="e">
        <f>IF(#REF!,"AAAAAH7/+9c=",0)</f>
        <v>#REF!</v>
      </c>
      <c r="HI19" t="e">
        <f>AND(#REF!,"AAAAAH7/+9g=")</f>
        <v>#REF!</v>
      </c>
      <c r="HJ19" t="e">
        <f>AND(#REF!,"AAAAAH7/+9k=")</f>
        <v>#REF!</v>
      </c>
      <c r="HK19" t="e">
        <f>AND(#REF!,"AAAAAH7/+9o=")</f>
        <v>#REF!</v>
      </c>
      <c r="HL19" t="e">
        <f>AND(#REF!,"AAAAAH7/+9s=")</f>
        <v>#REF!</v>
      </c>
      <c r="HM19" t="e">
        <f>AND(#REF!,"AAAAAH7/+9w=")</f>
        <v>#REF!</v>
      </c>
      <c r="HN19" t="e">
        <f>AND(#REF!,"AAAAAH7/+90=")</f>
        <v>#REF!</v>
      </c>
      <c r="HO19" t="e">
        <f>AND(#REF!,"AAAAAH7/+94=")</f>
        <v>#REF!</v>
      </c>
      <c r="HP19" t="e">
        <f>AND(#REF!,"AAAAAH7/+98=")</f>
        <v>#REF!</v>
      </c>
      <c r="HQ19" t="e">
        <f>AND(#REF!,"AAAAAH7/++A=")</f>
        <v>#REF!</v>
      </c>
      <c r="HR19" t="e">
        <f>AND(#REF!,"AAAAAH7/++E=")</f>
        <v>#REF!</v>
      </c>
      <c r="HS19" t="e">
        <f>AND(#REF!,"AAAAAH7/++I=")</f>
        <v>#REF!</v>
      </c>
      <c r="HT19" t="e">
        <f>AND(#REF!,"AAAAAH7/++M=")</f>
        <v>#REF!</v>
      </c>
      <c r="HU19" t="e">
        <f>AND(#REF!,"AAAAAH7/++Q=")</f>
        <v>#REF!</v>
      </c>
      <c r="HV19" t="e">
        <f>AND(#REF!,"AAAAAH7/++U=")</f>
        <v>#REF!</v>
      </c>
      <c r="HW19" t="e">
        <f>AND(#REF!,"AAAAAH7/++Y=")</f>
        <v>#REF!</v>
      </c>
      <c r="HX19" t="e">
        <f>AND(#REF!,"AAAAAH7/++c=")</f>
        <v>#REF!</v>
      </c>
      <c r="HY19" t="e">
        <f>AND(#REF!,"AAAAAH7/++g=")</f>
        <v>#REF!</v>
      </c>
      <c r="HZ19" t="e">
        <f>AND(#REF!,"AAAAAH7/++k=")</f>
        <v>#REF!</v>
      </c>
      <c r="IA19" t="e">
        <f>AND(#REF!,"AAAAAH7/++o=")</f>
        <v>#REF!</v>
      </c>
      <c r="IB19" t="e">
        <f>AND(#REF!,"AAAAAH7/++s=")</f>
        <v>#REF!</v>
      </c>
      <c r="IC19" t="e">
        <f>AND(#REF!,"AAAAAH7/++w=")</f>
        <v>#REF!</v>
      </c>
      <c r="ID19" t="e">
        <f>AND(#REF!,"AAAAAH7/++0=")</f>
        <v>#REF!</v>
      </c>
      <c r="IE19" t="e">
        <f>AND(#REF!,"AAAAAH7/++4=")</f>
        <v>#REF!</v>
      </c>
      <c r="IF19" t="e">
        <f>IF(#REF!,"AAAAAH7/++8=",0)</f>
        <v>#REF!</v>
      </c>
      <c r="IG19" t="e">
        <f>AND(#REF!,"AAAAAH7/+/A=")</f>
        <v>#REF!</v>
      </c>
      <c r="IH19" t="e">
        <f>AND(#REF!,"AAAAAH7/+/E=")</f>
        <v>#REF!</v>
      </c>
      <c r="II19" t="e">
        <f>AND(#REF!,"AAAAAH7/+/I=")</f>
        <v>#REF!</v>
      </c>
      <c r="IJ19" t="e">
        <f>AND(#REF!,"AAAAAH7/+/M=")</f>
        <v>#REF!</v>
      </c>
      <c r="IK19" t="e">
        <f>AND(#REF!,"AAAAAH7/+/Q=")</f>
        <v>#REF!</v>
      </c>
      <c r="IL19" t="e">
        <f>AND(#REF!,"AAAAAH7/+/U=")</f>
        <v>#REF!</v>
      </c>
      <c r="IM19" t="e">
        <f>AND(#REF!,"AAAAAH7/+/Y=")</f>
        <v>#REF!</v>
      </c>
      <c r="IN19" t="e">
        <f>AND(#REF!,"AAAAAH7/+/c=")</f>
        <v>#REF!</v>
      </c>
      <c r="IO19" t="e">
        <f>AND(#REF!,"AAAAAH7/+/g=")</f>
        <v>#REF!</v>
      </c>
      <c r="IP19" t="e">
        <f>AND(#REF!,"AAAAAH7/+/k=")</f>
        <v>#REF!</v>
      </c>
      <c r="IQ19" t="e">
        <f>AND(#REF!,"AAAAAH7/+/o=")</f>
        <v>#REF!</v>
      </c>
      <c r="IR19" t="e">
        <f>AND(#REF!,"AAAAAH7/+/s=")</f>
        <v>#REF!</v>
      </c>
      <c r="IS19" t="e">
        <f>AND(#REF!,"AAAAAH7/+/w=")</f>
        <v>#REF!</v>
      </c>
      <c r="IT19" t="e">
        <f>AND(#REF!,"AAAAAH7/+/0=")</f>
        <v>#REF!</v>
      </c>
      <c r="IU19" t="e">
        <f>AND(#REF!,"AAAAAH7/+/4=")</f>
        <v>#REF!</v>
      </c>
      <c r="IV19" t="e">
        <f>AND(#REF!,"AAAAAH7/+/8=")</f>
        <v>#REF!</v>
      </c>
    </row>
    <row r="20" spans="1:256" x14ac:dyDescent="0.25">
      <c r="A20" t="e">
        <f>AND(#REF!,"AAAAABenbwA=")</f>
        <v>#REF!</v>
      </c>
      <c r="B20" t="e">
        <f>AND(#REF!,"AAAAABenbwE=")</f>
        <v>#REF!</v>
      </c>
      <c r="C20" t="e">
        <f>AND(#REF!,"AAAAABenbwI=")</f>
        <v>#REF!</v>
      </c>
      <c r="D20" t="e">
        <f>AND(#REF!,"AAAAABenbwM=")</f>
        <v>#REF!</v>
      </c>
      <c r="E20" t="e">
        <f>AND(#REF!,"AAAAABenbwQ=")</f>
        <v>#REF!</v>
      </c>
      <c r="F20" t="e">
        <f>AND(#REF!,"AAAAABenbwU=")</f>
        <v>#REF!</v>
      </c>
      <c r="G20" t="e">
        <f>AND(#REF!,"AAAAABenbwY=")</f>
        <v>#REF!</v>
      </c>
      <c r="H20" t="e">
        <f>IF(#REF!,"AAAAABenbwc=",0)</f>
        <v>#REF!</v>
      </c>
      <c r="I20" t="e">
        <f>AND(#REF!,"AAAAABenbwg=")</f>
        <v>#REF!</v>
      </c>
      <c r="J20" t="e">
        <f>AND(#REF!,"AAAAABenbwk=")</f>
        <v>#REF!</v>
      </c>
      <c r="K20" t="e">
        <f>AND(#REF!,"AAAAABenbwo=")</f>
        <v>#REF!</v>
      </c>
      <c r="L20" t="e">
        <f>AND(#REF!,"AAAAABenbws=")</f>
        <v>#REF!</v>
      </c>
      <c r="M20" t="e">
        <f>AND(#REF!,"AAAAABenbww=")</f>
        <v>#REF!</v>
      </c>
      <c r="N20" t="e">
        <f>AND(#REF!,"AAAAABenbw0=")</f>
        <v>#REF!</v>
      </c>
      <c r="O20" t="e">
        <f>AND(#REF!,"AAAAABenbw4=")</f>
        <v>#REF!</v>
      </c>
      <c r="P20" t="e">
        <f>AND(#REF!,"AAAAABenbw8=")</f>
        <v>#REF!</v>
      </c>
      <c r="Q20" t="e">
        <f>AND(#REF!,"AAAAABenbxA=")</f>
        <v>#REF!</v>
      </c>
      <c r="R20" t="e">
        <f>AND(#REF!,"AAAAABenbxE=")</f>
        <v>#REF!</v>
      </c>
      <c r="S20" t="e">
        <f>AND(#REF!,"AAAAABenbxI=")</f>
        <v>#REF!</v>
      </c>
      <c r="T20" t="e">
        <f>AND(#REF!,"AAAAABenbxM=")</f>
        <v>#REF!</v>
      </c>
      <c r="U20" t="e">
        <f>AND(#REF!,"AAAAABenbxQ=")</f>
        <v>#REF!</v>
      </c>
      <c r="V20" t="e">
        <f>AND(#REF!,"AAAAABenbxU=")</f>
        <v>#REF!</v>
      </c>
      <c r="W20" t="e">
        <f>AND(#REF!,"AAAAABenbxY=")</f>
        <v>#REF!</v>
      </c>
      <c r="X20" t="e">
        <f>AND(#REF!,"AAAAABenbxc=")</f>
        <v>#REF!</v>
      </c>
      <c r="Y20" t="e">
        <f>AND(#REF!,"AAAAABenbxg=")</f>
        <v>#REF!</v>
      </c>
      <c r="Z20" t="e">
        <f>AND(#REF!,"AAAAABenbxk=")</f>
        <v>#REF!</v>
      </c>
      <c r="AA20" t="e">
        <f>AND(#REF!,"AAAAABenbxo=")</f>
        <v>#REF!</v>
      </c>
      <c r="AB20" t="e">
        <f>AND(#REF!,"AAAAABenbxs=")</f>
        <v>#REF!</v>
      </c>
      <c r="AC20" t="e">
        <f>AND(#REF!,"AAAAABenbxw=")</f>
        <v>#REF!</v>
      </c>
      <c r="AD20" t="e">
        <f>AND(#REF!,"AAAAABenbx0=")</f>
        <v>#REF!</v>
      </c>
      <c r="AE20" t="e">
        <f>AND(#REF!,"AAAAABenbx4=")</f>
        <v>#REF!</v>
      </c>
      <c r="AF20" t="e">
        <f>IF(#REF!,"AAAAABenbx8=",0)</f>
        <v>#REF!</v>
      </c>
      <c r="AG20" t="e">
        <f>AND(#REF!,"AAAAABenbyA=")</f>
        <v>#REF!</v>
      </c>
      <c r="AH20" t="e">
        <f>AND(#REF!,"AAAAABenbyE=")</f>
        <v>#REF!</v>
      </c>
      <c r="AI20" t="e">
        <f>AND(#REF!,"AAAAABenbyI=")</f>
        <v>#REF!</v>
      </c>
      <c r="AJ20" t="e">
        <f>AND(#REF!,"AAAAABenbyM=")</f>
        <v>#REF!</v>
      </c>
      <c r="AK20" t="e">
        <f>AND(#REF!,"AAAAABenbyQ=")</f>
        <v>#REF!</v>
      </c>
      <c r="AL20" t="e">
        <f>AND(#REF!,"AAAAABenbyU=")</f>
        <v>#REF!</v>
      </c>
      <c r="AM20" t="e">
        <f>AND(#REF!,"AAAAABenbyY=")</f>
        <v>#REF!</v>
      </c>
      <c r="AN20" t="e">
        <f>AND(#REF!,"AAAAABenbyc=")</f>
        <v>#REF!</v>
      </c>
      <c r="AO20" t="e">
        <f>AND(#REF!,"AAAAABenbyg=")</f>
        <v>#REF!</v>
      </c>
      <c r="AP20" t="e">
        <f>AND(#REF!,"AAAAABenbyk=")</f>
        <v>#REF!</v>
      </c>
      <c r="AQ20" t="e">
        <f>AND(#REF!,"AAAAABenbyo=")</f>
        <v>#REF!</v>
      </c>
      <c r="AR20" t="e">
        <f>AND(#REF!,"AAAAABenbys=")</f>
        <v>#REF!</v>
      </c>
      <c r="AS20" t="e">
        <f>AND(#REF!,"AAAAABenbyw=")</f>
        <v>#REF!</v>
      </c>
      <c r="AT20" t="e">
        <f>AND(#REF!,"AAAAABenby0=")</f>
        <v>#REF!</v>
      </c>
      <c r="AU20" t="e">
        <f>AND(#REF!,"AAAAABenby4=")</f>
        <v>#REF!</v>
      </c>
      <c r="AV20" t="e">
        <f>AND(#REF!,"AAAAABenby8=")</f>
        <v>#REF!</v>
      </c>
      <c r="AW20" t="e">
        <f>AND(#REF!,"AAAAABenbzA=")</f>
        <v>#REF!</v>
      </c>
      <c r="AX20" t="e">
        <f>AND(#REF!,"AAAAABenbzE=")</f>
        <v>#REF!</v>
      </c>
      <c r="AY20" t="e">
        <f>AND(#REF!,"AAAAABenbzI=")</f>
        <v>#REF!</v>
      </c>
      <c r="AZ20" t="e">
        <f>AND(#REF!,"AAAAABenbzM=")</f>
        <v>#REF!</v>
      </c>
      <c r="BA20" t="e">
        <f>AND(#REF!,"AAAAABenbzQ=")</f>
        <v>#REF!</v>
      </c>
      <c r="BB20" t="e">
        <f>AND(#REF!,"AAAAABenbzU=")</f>
        <v>#REF!</v>
      </c>
      <c r="BC20" t="e">
        <f>AND(#REF!,"AAAAABenbzY=")</f>
        <v>#REF!</v>
      </c>
      <c r="BD20" t="e">
        <f>IF(#REF!,"AAAAABenbzc=",0)</f>
        <v>#REF!</v>
      </c>
      <c r="BE20" t="e">
        <f>AND(#REF!,"AAAAABenbzg=")</f>
        <v>#REF!</v>
      </c>
      <c r="BF20" t="e">
        <f>AND(#REF!,"AAAAABenbzk=")</f>
        <v>#REF!</v>
      </c>
      <c r="BG20" t="e">
        <f>AND(#REF!,"AAAAABenbzo=")</f>
        <v>#REF!</v>
      </c>
      <c r="BH20" t="e">
        <f>AND(#REF!,"AAAAABenbzs=")</f>
        <v>#REF!</v>
      </c>
      <c r="BI20" t="e">
        <f>AND(#REF!,"AAAAABenbzw=")</f>
        <v>#REF!</v>
      </c>
      <c r="BJ20" t="e">
        <f>AND(#REF!,"AAAAABenbz0=")</f>
        <v>#REF!</v>
      </c>
      <c r="BK20" t="e">
        <f>AND(#REF!,"AAAAABenbz4=")</f>
        <v>#REF!</v>
      </c>
      <c r="BL20" t="e">
        <f>AND(#REF!,"AAAAABenbz8=")</f>
        <v>#REF!</v>
      </c>
      <c r="BM20" t="e">
        <f>AND(#REF!,"AAAAABenb0A=")</f>
        <v>#REF!</v>
      </c>
      <c r="BN20" t="e">
        <f>AND(#REF!,"AAAAABenb0E=")</f>
        <v>#REF!</v>
      </c>
      <c r="BO20" t="e">
        <f>AND(#REF!,"AAAAABenb0I=")</f>
        <v>#REF!</v>
      </c>
      <c r="BP20" t="e">
        <f>AND(#REF!,"AAAAABenb0M=")</f>
        <v>#REF!</v>
      </c>
      <c r="BQ20" t="e">
        <f>AND(#REF!,"AAAAABenb0Q=")</f>
        <v>#REF!</v>
      </c>
      <c r="BR20" t="e">
        <f>AND(#REF!,"AAAAABenb0U=")</f>
        <v>#REF!</v>
      </c>
      <c r="BS20" t="e">
        <f>AND(#REF!,"AAAAABenb0Y=")</f>
        <v>#REF!</v>
      </c>
      <c r="BT20" t="e">
        <f>AND(#REF!,"AAAAABenb0c=")</f>
        <v>#REF!</v>
      </c>
      <c r="BU20" t="e">
        <f>AND(#REF!,"AAAAABenb0g=")</f>
        <v>#REF!</v>
      </c>
      <c r="BV20" t="e">
        <f>AND(#REF!,"AAAAABenb0k=")</f>
        <v>#REF!</v>
      </c>
      <c r="BW20" t="e">
        <f>AND(#REF!,"AAAAABenb0o=")</f>
        <v>#REF!</v>
      </c>
      <c r="BX20" t="e">
        <f>AND(#REF!,"AAAAABenb0s=")</f>
        <v>#REF!</v>
      </c>
      <c r="BY20" t="e">
        <f>AND(#REF!,"AAAAABenb0w=")</f>
        <v>#REF!</v>
      </c>
      <c r="BZ20" t="e">
        <f>AND(#REF!,"AAAAABenb00=")</f>
        <v>#REF!</v>
      </c>
      <c r="CA20" t="e">
        <f>AND(#REF!,"AAAAABenb04=")</f>
        <v>#REF!</v>
      </c>
      <c r="CB20" t="e">
        <f>IF(#REF!,"AAAAABenb08=",0)</f>
        <v>#REF!</v>
      </c>
      <c r="CC20" t="e">
        <f>AND(#REF!,"AAAAABenb1A=")</f>
        <v>#REF!</v>
      </c>
      <c r="CD20" t="e">
        <f>AND(#REF!,"AAAAABenb1E=")</f>
        <v>#REF!</v>
      </c>
      <c r="CE20" t="e">
        <f>AND(#REF!,"AAAAABenb1I=")</f>
        <v>#REF!</v>
      </c>
      <c r="CF20" t="e">
        <f>AND(#REF!,"AAAAABenb1M=")</f>
        <v>#REF!</v>
      </c>
      <c r="CG20" t="e">
        <f>AND(#REF!,"AAAAABenb1Q=")</f>
        <v>#REF!</v>
      </c>
      <c r="CH20" t="e">
        <f>AND(#REF!,"AAAAABenb1U=")</f>
        <v>#REF!</v>
      </c>
      <c r="CI20" t="e">
        <f>AND(#REF!,"AAAAABenb1Y=")</f>
        <v>#REF!</v>
      </c>
      <c r="CJ20" t="e">
        <f>AND(#REF!,"AAAAABenb1c=")</f>
        <v>#REF!</v>
      </c>
      <c r="CK20" t="e">
        <f>AND(#REF!,"AAAAABenb1g=")</f>
        <v>#REF!</v>
      </c>
      <c r="CL20" t="e">
        <f>AND(#REF!,"AAAAABenb1k=")</f>
        <v>#REF!</v>
      </c>
      <c r="CM20" t="e">
        <f>AND(#REF!,"AAAAABenb1o=")</f>
        <v>#REF!</v>
      </c>
      <c r="CN20" t="e">
        <f>AND(#REF!,"AAAAABenb1s=")</f>
        <v>#REF!</v>
      </c>
      <c r="CO20" t="e">
        <f>AND(#REF!,"AAAAABenb1w=")</f>
        <v>#REF!</v>
      </c>
      <c r="CP20" t="e">
        <f>AND(#REF!,"AAAAABenb10=")</f>
        <v>#REF!</v>
      </c>
      <c r="CQ20" t="e">
        <f>AND(#REF!,"AAAAABenb14=")</f>
        <v>#REF!</v>
      </c>
      <c r="CR20" t="e">
        <f>AND(#REF!,"AAAAABenb18=")</f>
        <v>#REF!</v>
      </c>
      <c r="CS20" t="e">
        <f>AND(#REF!,"AAAAABenb2A=")</f>
        <v>#REF!</v>
      </c>
      <c r="CT20" t="e">
        <f>AND(#REF!,"AAAAABenb2E=")</f>
        <v>#REF!</v>
      </c>
      <c r="CU20" t="e">
        <f>AND(#REF!,"AAAAABenb2I=")</f>
        <v>#REF!</v>
      </c>
      <c r="CV20" t="e">
        <f>AND(#REF!,"AAAAABenb2M=")</f>
        <v>#REF!</v>
      </c>
      <c r="CW20" t="e">
        <f>AND(#REF!,"AAAAABenb2Q=")</f>
        <v>#REF!</v>
      </c>
      <c r="CX20" t="e">
        <f>AND(#REF!,"AAAAABenb2U=")</f>
        <v>#REF!</v>
      </c>
      <c r="CY20" t="e">
        <f>AND(#REF!,"AAAAABenb2Y=")</f>
        <v>#REF!</v>
      </c>
      <c r="CZ20" t="e">
        <f>IF(#REF!,"AAAAABenb2c=",0)</f>
        <v>#REF!</v>
      </c>
      <c r="DA20" t="e">
        <f>AND(#REF!,"AAAAABenb2g=")</f>
        <v>#REF!</v>
      </c>
      <c r="DB20" t="e">
        <f>AND(#REF!,"AAAAABenb2k=")</f>
        <v>#REF!</v>
      </c>
      <c r="DC20" t="e">
        <f>AND(#REF!,"AAAAABenb2o=")</f>
        <v>#REF!</v>
      </c>
      <c r="DD20" t="e">
        <f>AND(#REF!,"AAAAABenb2s=")</f>
        <v>#REF!</v>
      </c>
      <c r="DE20" t="e">
        <f>AND(#REF!,"AAAAABenb2w=")</f>
        <v>#REF!</v>
      </c>
      <c r="DF20" t="e">
        <f>AND(#REF!,"AAAAABenb20=")</f>
        <v>#REF!</v>
      </c>
      <c r="DG20" t="e">
        <f>AND(#REF!,"AAAAABenb24=")</f>
        <v>#REF!</v>
      </c>
      <c r="DH20" t="e">
        <f>AND(#REF!,"AAAAABenb28=")</f>
        <v>#REF!</v>
      </c>
      <c r="DI20" t="e">
        <f>AND(#REF!,"AAAAABenb3A=")</f>
        <v>#REF!</v>
      </c>
      <c r="DJ20" t="e">
        <f>AND(#REF!,"AAAAABenb3E=")</f>
        <v>#REF!</v>
      </c>
      <c r="DK20" t="e">
        <f>AND(#REF!,"AAAAABenb3I=")</f>
        <v>#REF!</v>
      </c>
      <c r="DL20" t="e">
        <f>AND(#REF!,"AAAAABenb3M=")</f>
        <v>#REF!</v>
      </c>
      <c r="DM20" t="e">
        <f>AND(#REF!,"AAAAABenb3Q=")</f>
        <v>#REF!</v>
      </c>
      <c r="DN20" t="e">
        <f>AND(#REF!,"AAAAABenb3U=")</f>
        <v>#REF!</v>
      </c>
      <c r="DO20" t="e">
        <f>AND(#REF!,"AAAAABenb3Y=")</f>
        <v>#REF!</v>
      </c>
      <c r="DP20" t="e">
        <f>AND(#REF!,"AAAAABenb3c=")</f>
        <v>#REF!</v>
      </c>
      <c r="DQ20" t="e">
        <f>AND(#REF!,"AAAAABenb3g=")</f>
        <v>#REF!</v>
      </c>
      <c r="DR20" t="e">
        <f>AND(#REF!,"AAAAABenb3k=")</f>
        <v>#REF!</v>
      </c>
      <c r="DS20" t="e">
        <f>AND(#REF!,"AAAAABenb3o=")</f>
        <v>#REF!</v>
      </c>
      <c r="DT20" t="e">
        <f>AND(#REF!,"AAAAABenb3s=")</f>
        <v>#REF!</v>
      </c>
      <c r="DU20" t="e">
        <f>AND(#REF!,"AAAAABenb3w=")</f>
        <v>#REF!</v>
      </c>
      <c r="DV20" t="e">
        <f>AND(#REF!,"AAAAABenb30=")</f>
        <v>#REF!</v>
      </c>
      <c r="DW20" t="e">
        <f>AND(#REF!,"AAAAABenb34=")</f>
        <v>#REF!</v>
      </c>
      <c r="DX20" t="e">
        <f>IF(#REF!,"AAAAABenb38=",0)</f>
        <v>#REF!</v>
      </c>
      <c r="DY20" t="e">
        <f>AND(#REF!,"AAAAABenb4A=")</f>
        <v>#REF!</v>
      </c>
      <c r="DZ20" t="e">
        <f>AND(#REF!,"AAAAABenb4E=")</f>
        <v>#REF!</v>
      </c>
      <c r="EA20" t="e">
        <f>AND(#REF!,"AAAAABenb4I=")</f>
        <v>#REF!</v>
      </c>
      <c r="EB20" t="e">
        <f>AND(#REF!,"AAAAABenb4M=")</f>
        <v>#REF!</v>
      </c>
      <c r="EC20" t="e">
        <f>AND(#REF!,"AAAAABenb4Q=")</f>
        <v>#REF!</v>
      </c>
      <c r="ED20" t="e">
        <f>AND(#REF!,"AAAAABenb4U=")</f>
        <v>#REF!</v>
      </c>
      <c r="EE20" t="e">
        <f>AND(#REF!,"AAAAABenb4Y=")</f>
        <v>#REF!</v>
      </c>
      <c r="EF20" t="e">
        <f>AND(#REF!,"AAAAABenb4c=")</f>
        <v>#REF!</v>
      </c>
      <c r="EG20" t="e">
        <f>AND(#REF!,"AAAAABenb4g=")</f>
        <v>#REF!</v>
      </c>
      <c r="EH20" t="e">
        <f>AND(#REF!,"AAAAABenb4k=")</f>
        <v>#REF!</v>
      </c>
      <c r="EI20" t="e">
        <f>AND(#REF!,"AAAAABenb4o=")</f>
        <v>#REF!</v>
      </c>
      <c r="EJ20" t="e">
        <f>AND(#REF!,"AAAAABenb4s=")</f>
        <v>#REF!</v>
      </c>
      <c r="EK20" t="e">
        <f>AND(#REF!,"AAAAABenb4w=")</f>
        <v>#REF!</v>
      </c>
      <c r="EL20" t="e">
        <f>AND(#REF!,"AAAAABenb40=")</f>
        <v>#REF!</v>
      </c>
      <c r="EM20" t="e">
        <f>AND(#REF!,"AAAAABenb44=")</f>
        <v>#REF!</v>
      </c>
      <c r="EN20" t="e">
        <f>AND(#REF!,"AAAAABenb48=")</f>
        <v>#REF!</v>
      </c>
      <c r="EO20" t="e">
        <f>AND(#REF!,"AAAAABenb5A=")</f>
        <v>#REF!</v>
      </c>
      <c r="EP20" t="e">
        <f>AND(#REF!,"AAAAABenb5E=")</f>
        <v>#REF!</v>
      </c>
      <c r="EQ20" t="e">
        <f>AND(#REF!,"AAAAABenb5I=")</f>
        <v>#REF!</v>
      </c>
      <c r="ER20" t="e">
        <f>AND(#REF!,"AAAAABenb5M=")</f>
        <v>#REF!</v>
      </c>
      <c r="ES20" t="e">
        <f>AND(#REF!,"AAAAABenb5Q=")</f>
        <v>#REF!</v>
      </c>
      <c r="ET20" t="e">
        <f>AND(#REF!,"AAAAABenb5U=")</f>
        <v>#REF!</v>
      </c>
      <c r="EU20" t="e">
        <f>AND(#REF!,"AAAAABenb5Y=")</f>
        <v>#REF!</v>
      </c>
      <c r="EV20" t="e">
        <f>IF(#REF!,"AAAAABenb5c=",0)</f>
        <v>#REF!</v>
      </c>
      <c r="EW20" t="e">
        <f>AND(#REF!,"AAAAABenb5g=")</f>
        <v>#REF!</v>
      </c>
      <c r="EX20" t="e">
        <f>AND(#REF!,"AAAAABenb5k=")</f>
        <v>#REF!</v>
      </c>
      <c r="EY20" t="e">
        <f>AND(#REF!,"AAAAABenb5o=")</f>
        <v>#REF!</v>
      </c>
      <c r="EZ20" t="e">
        <f>AND(#REF!,"AAAAABenb5s=")</f>
        <v>#REF!</v>
      </c>
      <c r="FA20" t="e">
        <f>AND(#REF!,"AAAAABenb5w=")</f>
        <v>#REF!</v>
      </c>
      <c r="FB20" t="e">
        <f>AND(#REF!,"AAAAABenb50=")</f>
        <v>#REF!</v>
      </c>
      <c r="FC20" t="e">
        <f>AND(#REF!,"AAAAABenb54=")</f>
        <v>#REF!</v>
      </c>
      <c r="FD20" t="e">
        <f>AND(#REF!,"AAAAABenb58=")</f>
        <v>#REF!</v>
      </c>
      <c r="FE20" t="e">
        <f>AND(#REF!,"AAAAABenb6A=")</f>
        <v>#REF!</v>
      </c>
      <c r="FF20" t="e">
        <f>AND(#REF!,"AAAAABenb6E=")</f>
        <v>#REF!</v>
      </c>
      <c r="FG20" t="e">
        <f>AND(#REF!,"AAAAABenb6I=")</f>
        <v>#REF!</v>
      </c>
      <c r="FH20" t="e">
        <f>AND(#REF!,"AAAAABenb6M=")</f>
        <v>#REF!</v>
      </c>
      <c r="FI20" t="e">
        <f>AND(#REF!,"AAAAABenb6Q=")</f>
        <v>#REF!</v>
      </c>
      <c r="FJ20" t="e">
        <f>AND(#REF!,"AAAAABenb6U=")</f>
        <v>#REF!</v>
      </c>
      <c r="FK20" t="e">
        <f>AND(#REF!,"AAAAABenb6Y=")</f>
        <v>#REF!</v>
      </c>
      <c r="FL20" t="e">
        <f>AND(#REF!,"AAAAABenb6c=")</f>
        <v>#REF!</v>
      </c>
      <c r="FM20" t="e">
        <f>AND(#REF!,"AAAAABenb6g=")</f>
        <v>#REF!</v>
      </c>
      <c r="FN20" t="e">
        <f>AND(#REF!,"AAAAABenb6k=")</f>
        <v>#REF!</v>
      </c>
      <c r="FO20" t="e">
        <f>AND(#REF!,"AAAAABenb6o=")</f>
        <v>#REF!</v>
      </c>
      <c r="FP20" t="e">
        <f>AND(#REF!,"AAAAABenb6s=")</f>
        <v>#REF!</v>
      </c>
      <c r="FQ20" t="e">
        <f>AND(#REF!,"AAAAABenb6w=")</f>
        <v>#REF!</v>
      </c>
      <c r="FR20" t="e">
        <f>AND(#REF!,"AAAAABenb60=")</f>
        <v>#REF!</v>
      </c>
      <c r="FS20" t="e">
        <f>AND(#REF!,"AAAAABenb64=")</f>
        <v>#REF!</v>
      </c>
      <c r="FT20" t="e">
        <f>IF(#REF!,"AAAAABenb68=",0)</f>
        <v>#REF!</v>
      </c>
      <c r="FU20" t="e">
        <f>AND(#REF!,"AAAAABenb7A=")</f>
        <v>#REF!</v>
      </c>
      <c r="FV20" t="e">
        <f>AND(#REF!,"AAAAABenb7E=")</f>
        <v>#REF!</v>
      </c>
      <c r="FW20" t="e">
        <f>AND(#REF!,"AAAAABenb7I=")</f>
        <v>#REF!</v>
      </c>
      <c r="FX20" t="e">
        <f>AND(#REF!,"AAAAABenb7M=")</f>
        <v>#REF!</v>
      </c>
      <c r="FY20" t="e">
        <f>AND(#REF!,"AAAAABenb7Q=")</f>
        <v>#REF!</v>
      </c>
      <c r="FZ20" t="e">
        <f>AND(#REF!,"AAAAABenb7U=")</f>
        <v>#REF!</v>
      </c>
      <c r="GA20" t="e">
        <f>AND(#REF!,"AAAAABenb7Y=")</f>
        <v>#REF!</v>
      </c>
      <c r="GB20" t="e">
        <f>AND(#REF!,"AAAAABenb7c=")</f>
        <v>#REF!</v>
      </c>
      <c r="GC20" t="e">
        <f>AND(#REF!,"AAAAABenb7g=")</f>
        <v>#REF!</v>
      </c>
      <c r="GD20" t="e">
        <f>AND(#REF!,"AAAAABenb7k=")</f>
        <v>#REF!</v>
      </c>
      <c r="GE20" t="e">
        <f>AND(#REF!,"AAAAABenb7o=")</f>
        <v>#REF!</v>
      </c>
      <c r="GF20" t="e">
        <f>AND(#REF!,"AAAAABenb7s=")</f>
        <v>#REF!</v>
      </c>
      <c r="GG20" t="e">
        <f>AND(#REF!,"AAAAABenb7w=")</f>
        <v>#REF!</v>
      </c>
      <c r="GH20" t="e">
        <f>AND(#REF!,"AAAAABenb70=")</f>
        <v>#REF!</v>
      </c>
      <c r="GI20" t="e">
        <f>AND(#REF!,"AAAAABenb74=")</f>
        <v>#REF!</v>
      </c>
      <c r="GJ20" t="e">
        <f>AND(#REF!,"AAAAABenb78=")</f>
        <v>#REF!</v>
      </c>
      <c r="GK20" t="e">
        <f>AND(#REF!,"AAAAABenb8A=")</f>
        <v>#REF!</v>
      </c>
      <c r="GL20" t="e">
        <f>AND(#REF!,"AAAAABenb8E=")</f>
        <v>#REF!</v>
      </c>
      <c r="GM20" t="e">
        <f>AND(#REF!,"AAAAABenb8I=")</f>
        <v>#REF!</v>
      </c>
      <c r="GN20" t="e">
        <f>AND(#REF!,"AAAAABenb8M=")</f>
        <v>#REF!</v>
      </c>
      <c r="GO20" t="e">
        <f>AND(#REF!,"AAAAABenb8Q=")</f>
        <v>#REF!</v>
      </c>
      <c r="GP20" t="e">
        <f>AND(#REF!,"AAAAABenb8U=")</f>
        <v>#REF!</v>
      </c>
      <c r="GQ20" t="e">
        <f>AND(#REF!,"AAAAABenb8Y=")</f>
        <v>#REF!</v>
      </c>
      <c r="GR20" t="e">
        <f>IF(#REF!,"AAAAABenb8c=",0)</f>
        <v>#REF!</v>
      </c>
      <c r="GS20" t="e">
        <f>AND(#REF!,"AAAAABenb8g=")</f>
        <v>#REF!</v>
      </c>
      <c r="GT20" t="e">
        <f>AND(#REF!,"AAAAABenb8k=")</f>
        <v>#REF!</v>
      </c>
      <c r="GU20" t="e">
        <f>AND(#REF!,"AAAAABenb8o=")</f>
        <v>#REF!</v>
      </c>
      <c r="GV20" t="e">
        <f>AND(#REF!,"AAAAABenb8s=")</f>
        <v>#REF!</v>
      </c>
      <c r="GW20" t="e">
        <f>AND(#REF!,"AAAAABenb8w=")</f>
        <v>#REF!</v>
      </c>
      <c r="GX20" t="e">
        <f>AND(#REF!,"AAAAABenb80=")</f>
        <v>#REF!</v>
      </c>
      <c r="GY20" t="e">
        <f>AND(#REF!,"AAAAABenb84=")</f>
        <v>#REF!</v>
      </c>
      <c r="GZ20" t="e">
        <f>AND(#REF!,"AAAAABenb88=")</f>
        <v>#REF!</v>
      </c>
      <c r="HA20" t="e">
        <f>AND(#REF!,"AAAAABenb9A=")</f>
        <v>#REF!</v>
      </c>
      <c r="HB20" t="e">
        <f>AND(#REF!,"AAAAABenb9E=")</f>
        <v>#REF!</v>
      </c>
      <c r="HC20" t="e">
        <f>AND(#REF!,"AAAAABenb9I=")</f>
        <v>#REF!</v>
      </c>
      <c r="HD20" t="e">
        <f>AND(#REF!,"AAAAABenb9M=")</f>
        <v>#REF!</v>
      </c>
      <c r="HE20" t="e">
        <f>AND(#REF!,"AAAAABenb9Q=")</f>
        <v>#REF!</v>
      </c>
      <c r="HF20" t="e">
        <f>AND(#REF!,"AAAAABenb9U=")</f>
        <v>#REF!</v>
      </c>
      <c r="HG20" t="e">
        <f>AND(#REF!,"AAAAABenb9Y=")</f>
        <v>#REF!</v>
      </c>
      <c r="HH20" t="e">
        <f>AND(#REF!,"AAAAABenb9c=")</f>
        <v>#REF!</v>
      </c>
      <c r="HI20" t="e">
        <f>AND(#REF!,"AAAAABenb9g=")</f>
        <v>#REF!</v>
      </c>
      <c r="HJ20" t="e">
        <f>AND(#REF!,"AAAAABenb9k=")</f>
        <v>#REF!</v>
      </c>
      <c r="HK20" t="e">
        <f>AND(#REF!,"AAAAABenb9o=")</f>
        <v>#REF!</v>
      </c>
      <c r="HL20" t="e">
        <f>AND(#REF!,"AAAAABenb9s=")</f>
        <v>#REF!</v>
      </c>
      <c r="HM20" t="e">
        <f>AND(#REF!,"AAAAABenb9w=")</f>
        <v>#REF!</v>
      </c>
      <c r="HN20" t="e">
        <f>AND(#REF!,"AAAAABenb90=")</f>
        <v>#REF!</v>
      </c>
      <c r="HO20" t="e">
        <f>AND(#REF!,"AAAAABenb94=")</f>
        <v>#REF!</v>
      </c>
      <c r="HP20" t="e">
        <f>IF(#REF!,"AAAAABenb98=",0)</f>
        <v>#REF!</v>
      </c>
      <c r="HQ20" t="e">
        <f>AND(#REF!,"AAAAABenb+A=")</f>
        <v>#REF!</v>
      </c>
      <c r="HR20" t="e">
        <f>AND(#REF!,"AAAAABenb+E=")</f>
        <v>#REF!</v>
      </c>
      <c r="HS20" t="e">
        <f>AND(#REF!,"AAAAABenb+I=")</f>
        <v>#REF!</v>
      </c>
      <c r="HT20" t="e">
        <f>AND(#REF!,"AAAAABenb+M=")</f>
        <v>#REF!</v>
      </c>
      <c r="HU20" t="e">
        <f>AND(#REF!,"AAAAABenb+Q=")</f>
        <v>#REF!</v>
      </c>
      <c r="HV20" t="e">
        <f>AND(#REF!,"AAAAABenb+U=")</f>
        <v>#REF!</v>
      </c>
      <c r="HW20" t="e">
        <f>AND(#REF!,"AAAAABenb+Y=")</f>
        <v>#REF!</v>
      </c>
      <c r="HX20" t="e">
        <f>AND(#REF!,"AAAAABenb+c=")</f>
        <v>#REF!</v>
      </c>
      <c r="HY20" t="e">
        <f>AND(#REF!,"AAAAABenb+g=")</f>
        <v>#REF!</v>
      </c>
      <c r="HZ20" t="e">
        <f>AND(#REF!,"AAAAABenb+k=")</f>
        <v>#REF!</v>
      </c>
      <c r="IA20" t="e">
        <f>AND(#REF!,"AAAAABenb+o=")</f>
        <v>#REF!</v>
      </c>
      <c r="IB20" t="e">
        <f>AND(#REF!,"AAAAABenb+s=")</f>
        <v>#REF!</v>
      </c>
      <c r="IC20" t="e">
        <f>AND(#REF!,"AAAAABenb+w=")</f>
        <v>#REF!</v>
      </c>
      <c r="ID20" t="e">
        <f>AND(#REF!,"AAAAABenb+0=")</f>
        <v>#REF!</v>
      </c>
      <c r="IE20" t="e">
        <f>AND(#REF!,"AAAAABenb+4=")</f>
        <v>#REF!</v>
      </c>
      <c r="IF20" t="e">
        <f>AND(#REF!,"AAAAABenb+8=")</f>
        <v>#REF!</v>
      </c>
      <c r="IG20" t="e">
        <f>AND(#REF!,"AAAAABenb/A=")</f>
        <v>#REF!</v>
      </c>
      <c r="IH20" t="e">
        <f>AND(#REF!,"AAAAABenb/E=")</f>
        <v>#REF!</v>
      </c>
      <c r="II20" t="e">
        <f>AND(#REF!,"AAAAABenb/I=")</f>
        <v>#REF!</v>
      </c>
      <c r="IJ20" t="e">
        <f>AND(#REF!,"AAAAABenb/M=")</f>
        <v>#REF!</v>
      </c>
      <c r="IK20" t="e">
        <f>AND(#REF!,"AAAAABenb/Q=")</f>
        <v>#REF!</v>
      </c>
      <c r="IL20" t="e">
        <f>AND(#REF!,"AAAAABenb/U=")</f>
        <v>#REF!</v>
      </c>
      <c r="IM20" t="e">
        <f>AND(#REF!,"AAAAABenb/Y=")</f>
        <v>#REF!</v>
      </c>
      <c r="IN20" t="e">
        <f>IF(#REF!,"AAAAABenb/c=",0)</f>
        <v>#REF!</v>
      </c>
      <c r="IO20" t="e">
        <f>AND(#REF!,"AAAAABenb/g=")</f>
        <v>#REF!</v>
      </c>
      <c r="IP20" t="e">
        <f>AND(#REF!,"AAAAABenb/k=")</f>
        <v>#REF!</v>
      </c>
      <c r="IQ20" t="e">
        <f>AND(#REF!,"AAAAABenb/o=")</f>
        <v>#REF!</v>
      </c>
      <c r="IR20" t="e">
        <f>AND(#REF!,"AAAAABenb/s=")</f>
        <v>#REF!</v>
      </c>
      <c r="IS20" t="e">
        <f>AND(#REF!,"AAAAABenb/w=")</f>
        <v>#REF!</v>
      </c>
      <c r="IT20" t="e">
        <f>AND(#REF!,"AAAAABenb/0=")</f>
        <v>#REF!</v>
      </c>
      <c r="IU20" t="e">
        <f>AND(#REF!,"AAAAABenb/4=")</f>
        <v>#REF!</v>
      </c>
      <c r="IV20" t="e">
        <f>AND(#REF!,"AAAAABenb/8=")</f>
        <v>#REF!</v>
      </c>
    </row>
    <row r="21" spans="1:256" x14ac:dyDescent="0.25">
      <c r="A21" t="e">
        <f>AND(#REF!,"AAAAAF1vtQA=")</f>
        <v>#REF!</v>
      </c>
      <c r="B21" t="e">
        <f>AND(#REF!,"AAAAAF1vtQE=")</f>
        <v>#REF!</v>
      </c>
      <c r="C21" t="e">
        <f>AND(#REF!,"AAAAAF1vtQI=")</f>
        <v>#REF!</v>
      </c>
      <c r="D21" t="e">
        <f>AND(#REF!,"AAAAAF1vtQM=")</f>
        <v>#REF!</v>
      </c>
      <c r="E21" t="e">
        <f>AND(#REF!,"AAAAAF1vtQQ=")</f>
        <v>#REF!</v>
      </c>
      <c r="F21" t="e">
        <f>AND(#REF!,"AAAAAF1vtQU=")</f>
        <v>#REF!</v>
      </c>
      <c r="G21" t="e">
        <f>AND(#REF!,"AAAAAF1vtQY=")</f>
        <v>#REF!</v>
      </c>
      <c r="H21" t="e">
        <f>AND(#REF!,"AAAAAF1vtQc=")</f>
        <v>#REF!</v>
      </c>
      <c r="I21" t="e">
        <f>AND(#REF!,"AAAAAF1vtQg=")</f>
        <v>#REF!</v>
      </c>
      <c r="J21" t="e">
        <f>AND(#REF!,"AAAAAF1vtQk=")</f>
        <v>#REF!</v>
      </c>
      <c r="K21" t="e">
        <f>AND(#REF!,"AAAAAF1vtQo=")</f>
        <v>#REF!</v>
      </c>
      <c r="L21" t="e">
        <f>AND(#REF!,"AAAAAF1vtQs=")</f>
        <v>#REF!</v>
      </c>
      <c r="M21" t="e">
        <f>AND(#REF!,"AAAAAF1vtQw=")</f>
        <v>#REF!</v>
      </c>
      <c r="N21" t="e">
        <f>AND(#REF!,"AAAAAF1vtQ0=")</f>
        <v>#REF!</v>
      </c>
      <c r="O21" t="e">
        <f>AND(#REF!,"AAAAAF1vtQ4=")</f>
        <v>#REF!</v>
      </c>
      <c r="P21" t="e">
        <f>IF(#REF!,"AAAAAF1vtQ8=",0)</f>
        <v>#REF!</v>
      </c>
      <c r="Q21" t="e">
        <f>AND(#REF!,"AAAAAF1vtRA=")</f>
        <v>#REF!</v>
      </c>
      <c r="R21" t="e">
        <f>AND(#REF!,"AAAAAF1vtRE=")</f>
        <v>#REF!</v>
      </c>
      <c r="S21" t="e">
        <f>AND(#REF!,"AAAAAF1vtRI=")</f>
        <v>#REF!</v>
      </c>
      <c r="T21" t="e">
        <f>AND(#REF!,"AAAAAF1vtRM=")</f>
        <v>#REF!</v>
      </c>
      <c r="U21" t="e">
        <f>AND(#REF!,"AAAAAF1vtRQ=")</f>
        <v>#REF!</v>
      </c>
      <c r="V21" t="e">
        <f>AND(#REF!,"AAAAAF1vtRU=")</f>
        <v>#REF!</v>
      </c>
      <c r="W21" t="e">
        <f>AND(#REF!,"AAAAAF1vtRY=")</f>
        <v>#REF!</v>
      </c>
      <c r="X21" t="e">
        <f>AND(#REF!,"AAAAAF1vtRc=")</f>
        <v>#REF!</v>
      </c>
      <c r="Y21" t="e">
        <f>AND(#REF!,"AAAAAF1vtRg=")</f>
        <v>#REF!</v>
      </c>
      <c r="Z21" t="e">
        <f>AND(#REF!,"AAAAAF1vtRk=")</f>
        <v>#REF!</v>
      </c>
      <c r="AA21" t="e">
        <f>AND(#REF!,"AAAAAF1vtRo=")</f>
        <v>#REF!</v>
      </c>
      <c r="AB21" t="e">
        <f>AND(#REF!,"AAAAAF1vtRs=")</f>
        <v>#REF!</v>
      </c>
      <c r="AC21" t="e">
        <f>AND(#REF!,"AAAAAF1vtRw=")</f>
        <v>#REF!</v>
      </c>
      <c r="AD21" t="e">
        <f>AND(#REF!,"AAAAAF1vtR0=")</f>
        <v>#REF!</v>
      </c>
      <c r="AE21" t="e">
        <f>AND(#REF!,"AAAAAF1vtR4=")</f>
        <v>#REF!</v>
      </c>
      <c r="AF21" t="e">
        <f>AND(#REF!,"AAAAAF1vtR8=")</f>
        <v>#REF!</v>
      </c>
      <c r="AG21" t="e">
        <f>AND(#REF!,"AAAAAF1vtSA=")</f>
        <v>#REF!</v>
      </c>
      <c r="AH21" t="e">
        <f>AND(#REF!,"AAAAAF1vtSE=")</f>
        <v>#REF!</v>
      </c>
      <c r="AI21" t="e">
        <f>AND(#REF!,"AAAAAF1vtSI=")</f>
        <v>#REF!</v>
      </c>
      <c r="AJ21" t="e">
        <f>AND(#REF!,"AAAAAF1vtSM=")</f>
        <v>#REF!</v>
      </c>
      <c r="AK21" t="e">
        <f>AND(#REF!,"AAAAAF1vtSQ=")</f>
        <v>#REF!</v>
      </c>
      <c r="AL21" t="e">
        <f>AND(#REF!,"AAAAAF1vtSU=")</f>
        <v>#REF!</v>
      </c>
      <c r="AM21" t="e">
        <f>AND(#REF!,"AAAAAF1vtSY=")</f>
        <v>#REF!</v>
      </c>
      <c r="AN21" t="e">
        <f>IF(#REF!,"AAAAAF1vtSc=",0)</f>
        <v>#REF!</v>
      </c>
      <c r="AO21" t="e">
        <f>AND(#REF!,"AAAAAF1vtSg=")</f>
        <v>#REF!</v>
      </c>
      <c r="AP21" t="e">
        <f>AND(#REF!,"AAAAAF1vtSk=")</f>
        <v>#REF!</v>
      </c>
      <c r="AQ21" t="e">
        <f>AND(#REF!,"AAAAAF1vtSo=")</f>
        <v>#REF!</v>
      </c>
      <c r="AR21" t="e">
        <f>AND(#REF!,"AAAAAF1vtSs=")</f>
        <v>#REF!</v>
      </c>
      <c r="AS21" t="e">
        <f>AND(#REF!,"AAAAAF1vtSw=")</f>
        <v>#REF!</v>
      </c>
      <c r="AT21" t="e">
        <f>AND(#REF!,"AAAAAF1vtS0=")</f>
        <v>#REF!</v>
      </c>
      <c r="AU21" t="e">
        <f>AND(#REF!,"AAAAAF1vtS4=")</f>
        <v>#REF!</v>
      </c>
      <c r="AV21" t="e">
        <f>AND(#REF!,"AAAAAF1vtS8=")</f>
        <v>#REF!</v>
      </c>
      <c r="AW21" t="e">
        <f>AND(#REF!,"AAAAAF1vtTA=")</f>
        <v>#REF!</v>
      </c>
      <c r="AX21" t="e">
        <f>AND(#REF!,"AAAAAF1vtTE=")</f>
        <v>#REF!</v>
      </c>
      <c r="AY21" t="e">
        <f>AND(#REF!,"AAAAAF1vtTI=")</f>
        <v>#REF!</v>
      </c>
      <c r="AZ21" t="e">
        <f>AND(#REF!,"AAAAAF1vtTM=")</f>
        <v>#REF!</v>
      </c>
      <c r="BA21" t="e">
        <f>AND(#REF!,"AAAAAF1vtTQ=")</f>
        <v>#REF!</v>
      </c>
      <c r="BB21" t="e">
        <f>AND(#REF!,"AAAAAF1vtTU=")</f>
        <v>#REF!</v>
      </c>
      <c r="BC21" t="e">
        <f>AND(#REF!,"AAAAAF1vtTY=")</f>
        <v>#REF!</v>
      </c>
      <c r="BD21" t="e">
        <f>AND(#REF!,"AAAAAF1vtTc=")</f>
        <v>#REF!</v>
      </c>
      <c r="BE21" t="e">
        <f>AND(#REF!,"AAAAAF1vtTg=")</f>
        <v>#REF!</v>
      </c>
      <c r="BF21" t="e">
        <f>AND(#REF!,"AAAAAF1vtTk=")</f>
        <v>#REF!</v>
      </c>
      <c r="BG21" t="e">
        <f>AND(#REF!,"AAAAAF1vtTo=")</f>
        <v>#REF!</v>
      </c>
      <c r="BH21" t="e">
        <f>AND(#REF!,"AAAAAF1vtTs=")</f>
        <v>#REF!</v>
      </c>
      <c r="BI21" t="e">
        <f>AND(#REF!,"AAAAAF1vtTw=")</f>
        <v>#REF!</v>
      </c>
      <c r="BJ21" t="e">
        <f>AND(#REF!,"AAAAAF1vtT0=")</f>
        <v>#REF!</v>
      </c>
      <c r="BK21" t="e">
        <f>AND(#REF!,"AAAAAF1vtT4=")</f>
        <v>#REF!</v>
      </c>
      <c r="BL21" t="e">
        <f>IF(#REF!,"AAAAAF1vtT8=",0)</f>
        <v>#REF!</v>
      </c>
      <c r="BM21" t="e">
        <f>AND(#REF!,"AAAAAF1vtUA=")</f>
        <v>#REF!</v>
      </c>
      <c r="BN21" t="e">
        <f>AND(#REF!,"AAAAAF1vtUE=")</f>
        <v>#REF!</v>
      </c>
      <c r="BO21" t="e">
        <f>AND(#REF!,"AAAAAF1vtUI=")</f>
        <v>#REF!</v>
      </c>
      <c r="BP21" t="e">
        <f>AND(#REF!,"AAAAAF1vtUM=")</f>
        <v>#REF!</v>
      </c>
      <c r="BQ21" t="e">
        <f>AND(#REF!,"AAAAAF1vtUQ=")</f>
        <v>#REF!</v>
      </c>
      <c r="BR21" t="e">
        <f>AND(#REF!,"AAAAAF1vtUU=")</f>
        <v>#REF!</v>
      </c>
      <c r="BS21" t="e">
        <f>AND(#REF!,"AAAAAF1vtUY=")</f>
        <v>#REF!</v>
      </c>
      <c r="BT21" t="e">
        <f>AND(#REF!,"AAAAAF1vtUc=")</f>
        <v>#REF!</v>
      </c>
      <c r="BU21" t="e">
        <f>AND(#REF!,"AAAAAF1vtUg=")</f>
        <v>#REF!</v>
      </c>
      <c r="BV21" t="e">
        <f>AND(#REF!,"AAAAAF1vtUk=")</f>
        <v>#REF!</v>
      </c>
      <c r="BW21" t="e">
        <f>AND(#REF!,"AAAAAF1vtUo=")</f>
        <v>#REF!</v>
      </c>
      <c r="BX21" t="e">
        <f>AND(#REF!,"AAAAAF1vtUs=")</f>
        <v>#REF!</v>
      </c>
      <c r="BY21" t="e">
        <f>AND(#REF!,"AAAAAF1vtUw=")</f>
        <v>#REF!</v>
      </c>
      <c r="BZ21" t="e">
        <f>AND(#REF!,"AAAAAF1vtU0=")</f>
        <v>#REF!</v>
      </c>
      <c r="CA21" t="e">
        <f>AND(#REF!,"AAAAAF1vtU4=")</f>
        <v>#REF!</v>
      </c>
      <c r="CB21" t="e">
        <f>AND(#REF!,"AAAAAF1vtU8=")</f>
        <v>#REF!</v>
      </c>
      <c r="CC21" t="e">
        <f>AND(#REF!,"AAAAAF1vtVA=")</f>
        <v>#REF!</v>
      </c>
      <c r="CD21" t="e">
        <f>AND(#REF!,"AAAAAF1vtVE=")</f>
        <v>#REF!</v>
      </c>
      <c r="CE21" t="e">
        <f>AND(#REF!,"AAAAAF1vtVI=")</f>
        <v>#REF!</v>
      </c>
      <c r="CF21" t="e">
        <f>AND(#REF!,"AAAAAF1vtVM=")</f>
        <v>#REF!</v>
      </c>
      <c r="CG21" t="e">
        <f>AND(#REF!,"AAAAAF1vtVQ=")</f>
        <v>#REF!</v>
      </c>
      <c r="CH21" t="e">
        <f>AND(#REF!,"AAAAAF1vtVU=")</f>
        <v>#REF!</v>
      </c>
      <c r="CI21" t="e">
        <f>AND(#REF!,"AAAAAF1vtVY=")</f>
        <v>#REF!</v>
      </c>
      <c r="CJ21" t="e">
        <f>IF(#REF!,"AAAAAF1vtVc=",0)</f>
        <v>#REF!</v>
      </c>
      <c r="CK21" t="e">
        <f>AND(#REF!,"AAAAAF1vtVg=")</f>
        <v>#REF!</v>
      </c>
      <c r="CL21" t="e">
        <f>AND(#REF!,"AAAAAF1vtVk=")</f>
        <v>#REF!</v>
      </c>
      <c r="CM21" t="e">
        <f>AND(#REF!,"AAAAAF1vtVo=")</f>
        <v>#REF!</v>
      </c>
      <c r="CN21" t="e">
        <f>AND(#REF!,"AAAAAF1vtVs=")</f>
        <v>#REF!</v>
      </c>
      <c r="CO21" t="e">
        <f>AND(#REF!,"AAAAAF1vtVw=")</f>
        <v>#REF!</v>
      </c>
      <c r="CP21" t="e">
        <f>AND(#REF!,"AAAAAF1vtV0=")</f>
        <v>#REF!</v>
      </c>
      <c r="CQ21" t="e">
        <f>AND(#REF!,"AAAAAF1vtV4=")</f>
        <v>#REF!</v>
      </c>
      <c r="CR21" t="e">
        <f>AND(#REF!,"AAAAAF1vtV8=")</f>
        <v>#REF!</v>
      </c>
      <c r="CS21" t="e">
        <f>AND(#REF!,"AAAAAF1vtWA=")</f>
        <v>#REF!</v>
      </c>
      <c r="CT21" t="e">
        <f>AND(#REF!,"AAAAAF1vtWE=")</f>
        <v>#REF!</v>
      </c>
      <c r="CU21" t="e">
        <f>AND(#REF!,"AAAAAF1vtWI=")</f>
        <v>#REF!</v>
      </c>
      <c r="CV21" t="e">
        <f>AND(#REF!,"AAAAAF1vtWM=")</f>
        <v>#REF!</v>
      </c>
      <c r="CW21" t="e">
        <f>AND(#REF!,"AAAAAF1vtWQ=")</f>
        <v>#REF!</v>
      </c>
      <c r="CX21" t="e">
        <f>AND(#REF!,"AAAAAF1vtWU=")</f>
        <v>#REF!</v>
      </c>
      <c r="CY21" t="e">
        <f>AND(#REF!,"AAAAAF1vtWY=")</f>
        <v>#REF!</v>
      </c>
      <c r="CZ21" t="e">
        <f>AND(#REF!,"AAAAAF1vtWc=")</f>
        <v>#REF!</v>
      </c>
      <c r="DA21" t="e">
        <f>AND(#REF!,"AAAAAF1vtWg=")</f>
        <v>#REF!</v>
      </c>
      <c r="DB21" t="e">
        <f>AND(#REF!,"AAAAAF1vtWk=")</f>
        <v>#REF!</v>
      </c>
      <c r="DC21" t="e">
        <f>AND(#REF!,"AAAAAF1vtWo=")</f>
        <v>#REF!</v>
      </c>
      <c r="DD21" t="e">
        <f>AND(#REF!,"AAAAAF1vtWs=")</f>
        <v>#REF!</v>
      </c>
      <c r="DE21" t="e">
        <f>AND(#REF!,"AAAAAF1vtWw=")</f>
        <v>#REF!</v>
      </c>
      <c r="DF21" t="e">
        <f>AND(#REF!,"AAAAAF1vtW0=")</f>
        <v>#REF!</v>
      </c>
      <c r="DG21" t="e">
        <f>AND(#REF!,"AAAAAF1vtW4=")</f>
        <v>#REF!</v>
      </c>
      <c r="DH21" t="e">
        <f>IF(#REF!,"AAAAAF1vtW8=",0)</f>
        <v>#REF!</v>
      </c>
      <c r="DI21" t="e">
        <f>AND(#REF!,"AAAAAF1vtXA=")</f>
        <v>#REF!</v>
      </c>
      <c r="DJ21" t="e">
        <f>AND(#REF!,"AAAAAF1vtXE=")</f>
        <v>#REF!</v>
      </c>
      <c r="DK21" t="e">
        <f>AND(#REF!,"AAAAAF1vtXI=")</f>
        <v>#REF!</v>
      </c>
      <c r="DL21" t="e">
        <f>AND(#REF!,"AAAAAF1vtXM=")</f>
        <v>#REF!</v>
      </c>
      <c r="DM21" t="e">
        <f>AND(#REF!,"AAAAAF1vtXQ=")</f>
        <v>#REF!</v>
      </c>
      <c r="DN21" t="e">
        <f>AND(#REF!,"AAAAAF1vtXU=")</f>
        <v>#REF!</v>
      </c>
      <c r="DO21" t="e">
        <f>AND(#REF!,"AAAAAF1vtXY=")</f>
        <v>#REF!</v>
      </c>
      <c r="DP21" t="e">
        <f>AND(#REF!,"AAAAAF1vtXc=")</f>
        <v>#REF!</v>
      </c>
      <c r="DQ21" t="e">
        <f>AND(#REF!,"AAAAAF1vtXg=")</f>
        <v>#REF!</v>
      </c>
      <c r="DR21" t="e">
        <f>AND(#REF!,"AAAAAF1vtXk=")</f>
        <v>#REF!</v>
      </c>
      <c r="DS21" t="e">
        <f>AND(#REF!,"AAAAAF1vtXo=")</f>
        <v>#REF!</v>
      </c>
      <c r="DT21" t="e">
        <f>AND(#REF!,"AAAAAF1vtXs=")</f>
        <v>#REF!</v>
      </c>
      <c r="DU21" t="e">
        <f>AND(#REF!,"AAAAAF1vtXw=")</f>
        <v>#REF!</v>
      </c>
      <c r="DV21" t="e">
        <f>AND(#REF!,"AAAAAF1vtX0=")</f>
        <v>#REF!</v>
      </c>
      <c r="DW21" t="e">
        <f>AND(#REF!,"AAAAAF1vtX4=")</f>
        <v>#REF!</v>
      </c>
      <c r="DX21" t="e">
        <f>AND(#REF!,"AAAAAF1vtX8=")</f>
        <v>#REF!</v>
      </c>
      <c r="DY21" t="e">
        <f>AND(#REF!,"AAAAAF1vtYA=")</f>
        <v>#REF!</v>
      </c>
      <c r="DZ21" t="e">
        <f>AND(#REF!,"AAAAAF1vtYE=")</f>
        <v>#REF!</v>
      </c>
      <c r="EA21" t="e">
        <f>AND(#REF!,"AAAAAF1vtYI=")</f>
        <v>#REF!</v>
      </c>
      <c r="EB21" t="e">
        <f>AND(#REF!,"AAAAAF1vtYM=")</f>
        <v>#REF!</v>
      </c>
      <c r="EC21" t="e">
        <f>AND(#REF!,"AAAAAF1vtYQ=")</f>
        <v>#REF!</v>
      </c>
      <c r="ED21" t="e">
        <f>AND(#REF!,"AAAAAF1vtYU=")</f>
        <v>#REF!</v>
      </c>
      <c r="EE21" t="e">
        <f>AND(#REF!,"AAAAAF1vtYY=")</f>
        <v>#REF!</v>
      </c>
      <c r="EF21" t="e">
        <f>IF(#REF!,"AAAAAF1vtYc=",0)</f>
        <v>#REF!</v>
      </c>
      <c r="EG21" t="e">
        <f>AND(#REF!,"AAAAAF1vtYg=")</f>
        <v>#REF!</v>
      </c>
      <c r="EH21" t="e">
        <f>AND(#REF!,"AAAAAF1vtYk=")</f>
        <v>#REF!</v>
      </c>
      <c r="EI21" t="e">
        <f>AND(#REF!,"AAAAAF1vtYo=")</f>
        <v>#REF!</v>
      </c>
      <c r="EJ21" t="e">
        <f>AND(#REF!,"AAAAAF1vtYs=")</f>
        <v>#REF!</v>
      </c>
      <c r="EK21" t="e">
        <f>AND(#REF!,"AAAAAF1vtYw=")</f>
        <v>#REF!</v>
      </c>
      <c r="EL21" t="e">
        <f>AND(#REF!,"AAAAAF1vtY0=")</f>
        <v>#REF!</v>
      </c>
      <c r="EM21" t="e">
        <f>AND(#REF!,"AAAAAF1vtY4=")</f>
        <v>#REF!</v>
      </c>
      <c r="EN21" t="e">
        <f>AND(#REF!,"AAAAAF1vtY8=")</f>
        <v>#REF!</v>
      </c>
      <c r="EO21" t="e">
        <f>AND(#REF!,"AAAAAF1vtZA=")</f>
        <v>#REF!</v>
      </c>
      <c r="EP21" t="e">
        <f>AND(#REF!,"AAAAAF1vtZE=")</f>
        <v>#REF!</v>
      </c>
      <c r="EQ21" t="e">
        <f>AND(#REF!,"AAAAAF1vtZI=")</f>
        <v>#REF!</v>
      </c>
      <c r="ER21" t="e">
        <f>AND(#REF!,"AAAAAF1vtZM=")</f>
        <v>#REF!</v>
      </c>
      <c r="ES21" t="e">
        <f>AND(#REF!,"AAAAAF1vtZQ=")</f>
        <v>#REF!</v>
      </c>
      <c r="ET21" t="e">
        <f>AND(#REF!,"AAAAAF1vtZU=")</f>
        <v>#REF!</v>
      </c>
      <c r="EU21" t="e">
        <f>AND(#REF!,"AAAAAF1vtZY=")</f>
        <v>#REF!</v>
      </c>
      <c r="EV21" t="e">
        <f>AND(#REF!,"AAAAAF1vtZc=")</f>
        <v>#REF!</v>
      </c>
      <c r="EW21" t="e">
        <f>AND(#REF!,"AAAAAF1vtZg=")</f>
        <v>#REF!</v>
      </c>
      <c r="EX21" t="e">
        <f>AND(#REF!,"AAAAAF1vtZk=")</f>
        <v>#REF!</v>
      </c>
      <c r="EY21" t="e">
        <f>AND(#REF!,"AAAAAF1vtZo=")</f>
        <v>#REF!</v>
      </c>
      <c r="EZ21" t="e">
        <f>AND(#REF!,"AAAAAF1vtZs=")</f>
        <v>#REF!</v>
      </c>
      <c r="FA21" t="e">
        <f>AND(#REF!,"AAAAAF1vtZw=")</f>
        <v>#REF!</v>
      </c>
      <c r="FB21" t="e">
        <f>AND(#REF!,"AAAAAF1vtZ0=")</f>
        <v>#REF!</v>
      </c>
      <c r="FC21" t="e">
        <f>AND(#REF!,"AAAAAF1vtZ4=")</f>
        <v>#REF!</v>
      </c>
      <c r="FD21" t="e">
        <f>IF(#REF!,"AAAAAF1vtZ8=",0)</f>
        <v>#REF!</v>
      </c>
      <c r="FE21" t="e">
        <f>AND(#REF!,"AAAAAF1vtaA=")</f>
        <v>#REF!</v>
      </c>
      <c r="FF21" t="e">
        <f>AND(#REF!,"AAAAAF1vtaE=")</f>
        <v>#REF!</v>
      </c>
      <c r="FG21" t="e">
        <f>AND(#REF!,"AAAAAF1vtaI=")</f>
        <v>#REF!</v>
      </c>
      <c r="FH21" t="e">
        <f>AND(#REF!,"AAAAAF1vtaM=")</f>
        <v>#REF!</v>
      </c>
      <c r="FI21" t="e">
        <f>AND(#REF!,"AAAAAF1vtaQ=")</f>
        <v>#REF!</v>
      </c>
      <c r="FJ21" t="e">
        <f>AND(#REF!,"AAAAAF1vtaU=")</f>
        <v>#REF!</v>
      </c>
      <c r="FK21" t="e">
        <f>AND(#REF!,"AAAAAF1vtaY=")</f>
        <v>#REF!</v>
      </c>
      <c r="FL21" t="e">
        <f>AND(#REF!,"AAAAAF1vtac=")</f>
        <v>#REF!</v>
      </c>
      <c r="FM21" t="e">
        <f>AND(#REF!,"AAAAAF1vtag=")</f>
        <v>#REF!</v>
      </c>
      <c r="FN21" t="e">
        <f>AND(#REF!,"AAAAAF1vtak=")</f>
        <v>#REF!</v>
      </c>
      <c r="FO21" t="e">
        <f>AND(#REF!,"AAAAAF1vtao=")</f>
        <v>#REF!</v>
      </c>
      <c r="FP21" t="e">
        <f>AND(#REF!,"AAAAAF1vtas=")</f>
        <v>#REF!</v>
      </c>
      <c r="FQ21" t="e">
        <f>AND(#REF!,"AAAAAF1vtaw=")</f>
        <v>#REF!</v>
      </c>
      <c r="FR21" t="e">
        <f>AND(#REF!,"AAAAAF1vta0=")</f>
        <v>#REF!</v>
      </c>
      <c r="FS21" t="e">
        <f>AND(#REF!,"AAAAAF1vta4=")</f>
        <v>#REF!</v>
      </c>
      <c r="FT21" t="e">
        <f>AND(#REF!,"AAAAAF1vta8=")</f>
        <v>#REF!</v>
      </c>
      <c r="FU21" t="e">
        <f>AND(#REF!,"AAAAAF1vtbA=")</f>
        <v>#REF!</v>
      </c>
      <c r="FV21" t="e">
        <f>AND(#REF!,"AAAAAF1vtbE=")</f>
        <v>#REF!</v>
      </c>
      <c r="FW21" t="e">
        <f>AND(#REF!,"AAAAAF1vtbI=")</f>
        <v>#REF!</v>
      </c>
      <c r="FX21" t="e">
        <f>AND(#REF!,"AAAAAF1vtbM=")</f>
        <v>#REF!</v>
      </c>
      <c r="FY21" t="e">
        <f>AND(#REF!,"AAAAAF1vtbQ=")</f>
        <v>#REF!</v>
      </c>
      <c r="FZ21" t="e">
        <f>AND(#REF!,"AAAAAF1vtbU=")</f>
        <v>#REF!</v>
      </c>
      <c r="GA21" t="e">
        <f>AND(#REF!,"AAAAAF1vtbY=")</f>
        <v>#REF!</v>
      </c>
      <c r="GB21" t="e">
        <f>IF(#REF!,"AAAAAF1vtbc=",0)</f>
        <v>#REF!</v>
      </c>
      <c r="GC21" t="e">
        <f>AND(#REF!,"AAAAAF1vtbg=")</f>
        <v>#REF!</v>
      </c>
      <c r="GD21" t="e">
        <f>AND(#REF!,"AAAAAF1vtbk=")</f>
        <v>#REF!</v>
      </c>
      <c r="GE21" t="e">
        <f>AND(#REF!,"AAAAAF1vtbo=")</f>
        <v>#REF!</v>
      </c>
      <c r="GF21" t="e">
        <f>AND(#REF!,"AAAAAF1vtbs=")</f>
        <v>#REF!</v>
      </c>
      <c r="GG21" t="e">
        <f>AND(#REF!,"AAAAAF1vtbw=")</f>
        <v>#REF!</v>
      </c>
      <c r="GH21" t="e">
        <f>AND(#REF!,"AAAAAF1vtb0=")</f>
        <v>#REF!</v>
      </c>
      <c r="GI21" t="e">
        <f>AND(#REF!,"AAAAAF1vtb4=")</f>
        <v>#REF!</v>
      </c>
      <c r="GJ21" t="e">
        <f>AND(#REF!,"AAAAAF1vtb8=")</f>
        <v>#REF!</v>
      </c>
      <c r="GK21" t="e">
        <f>AND(#REF!,"AAAAAF1vtcA=")</f>
        <v>#REF!</v>
      </c>
      <c r="GL21" t="e">
        <f>AND(#REF!,"AAAAAF1vtcE=")</f>
        <v>#REF!</v>
      </c>
      <c r="GM21" t="e">
        <f>AND(#REF!,"AAAAAF1vtcI=")</f>
        <v>#REF!</v>
      </c>
      <c r="GN21" t="e">
        <f>AND(#REF!,"AAAAAF1vtcM=")</f>
        <v>#REF!</v>
      </c>
      <c r="GO21" t="e">
        <f>AND(#REF!,"AAAAAF1vtcQ=")</f>
        <v>#REF!</v>
      </c>
      <c r="GP21" t="e">
        <f>AND(#REF!,"AAAAAF1vtcU=")</f>
        <v>#REF!</v>
      </c>
      <c r="GQ21" t="e">
        <f>AND(#REF!,"AAAAAF1vtcY=")</f>
        <v>#REF!</v>
      </c>
      <c r="GR21" t="e">
        <f>AND(#REF!,"AAAAAF1vtcc=")</f>
        <v>#REF!</v>
      </c>
      <c r="GS21" t="e">
        <f>AND(#REF!,"AAAAAF1vtcg=")</f>
        <v>#REF!</v>
      </c>
      <c r="GT21" t="e">
        <f>AND(#REF!,"AAAAAF1vtck=")</f>
        <v>#REF!</v>
      </c>
      <c r="GU21" t="e">
        <f>AND(#REF!,"AAAAAF1vtco=")</f>
        <v>#REF!</v>
      </c>
      <c r="GV21" t="e">
        <f>AND(#REF!,"AAAAAF1vtcs=")</f>
        <v>#REF!</v>
      </c>
      <c r="GW21" t="e">
        <f>AND(#REF!,"AAAAAF1vtcw=")</f>
        <v>#REF!</v>
      </c>
      <c r="GX21" t="e">
        <f>AND(#REF!,"AAAAAF1vtc0=")</f>
        <v>#REF!</v>
      </c>
      <c r="GY21" t="e">
        <f>AND(#REF!,"AAAAAF1vtc4=")</f>
        <v>#REF!</v>
      </c>
      <c r="GZ21" t="e">
        <f>IF(#REF!,"AAAAAF1vtc8=",0)</f>
        <v>#REF!</v>
      </c>
      <c r="HA21" t="e">
        <f>AND(#REF!,"AAAAAF1vtdA=")</f>
        <v>#REF!</v>
      </c>
      <c r="HB21" t="e">
        <f>AND(#REF!,"AAAAAF1vtdE=")</f>
        <v>#REF!</v>
      </c>
      <c r="HC21" t="e">
        <f>AND(#REF!,"AAAAAF1vtdI=")</f>
        <v>#REF!</v>
      </c>
      <c r="HD21" t="e">
        <f>AND(#REF!,"AAAAAF1vtdM=")</f>
        <v>#REF!</v>
      </c>
      <c r="HE21" t="e">
        <f>AND(#REF!,"AAAAAF1vtdQ=")</f>
        <v>#REF!</v>
      </c>
      <c r="HF21" t="e">
        <f>AND(#REF!,"AAAAAF1vtdU=")</f>
        <v>#REF!</v>
      </c>
      <c r="HG21" t="e">
        <f>AND(#REF!,"AAAAAF1vtdY=")</f>
        <v>#REF!</v>
      </c>
      <c r="HH21" t="e">
        <f>AND(#REF!,"AAAAAF1vtdc=")</f>
        <v>#REF!</v>
      </c>
      <c r="HI21" t="e">
        <f>AND(#REF!,"AAAAAF1vtdg=")</f>
        <v>#REF!</v>
      </c>
      <c r="HJ21" t="e">
        <f>AND(#REF!,"AAAAAF1vtdk=")</f>
        <v>#REF!</v>
      </c>
      <c r="HK21" t="e">
        <f>AND(#REF!,"AAAAAF1vtdo=")</f>
        <v>#REF!</v>
      </c>
      <c r="HL21" t="e">
        <f>AND(#REF!,"AAAAAF1vtds=")</f>
        <v>#REF!</v>
      </c>
      <c r="HM21" t="e">
        <f>AND(#REF!,"AAAAAF1vtdw=")</f>
        <v>#REF!</v>
      </c>
      <c r="HN21" t="e">
        <f>AND(#REF!,"AAAAAF1vtd0=")</f>
        <v>#REF!</v>
      </c>
      <c r="HO21" t="e">
        <f>AND(#REF!,"AAAAAF1vtd4=")</f>
        <v>#REF!</v>
      </c>
      <c r="HP21" t="e">
        <f>AND(#REF!,"AAAAAF1vtd8=")</f>
        <v>#REF!</v>
      </c>
      <c r="HQ21" t="e">
        <f>AND(#REF!,"AAAAAF1vteA=")</f>
        <v>#REF!</v>
      </c>
      <c r="HR21" t="e">
        <f>AND(#REF!,"AAAAAF1vteE=")</f>
        <v>#REF!</v>
      </c>
      <c r="HS21" t="e">
        <f>AND(#REF!,"AAAAAF1vteI=")</f>
        <v>#REF!</v>
      </c>
      <c r="HT21" t="e">
        <f>AND(#REF!,"AAAAAF1vteM=")</f>
        <v>#REF!</v>
      </c>
      <c r="HU21" t="e">
        <f>AND(#REF!,"AAAAAF1vteQ=")</f>
        <v>#REF!</v>
      </c>
      <c r="HV21" t="e">
        <f>AND(#REF!,"AAAAAF1vteU=")</f>
        <v>#REF!</v>
      </c>
      <c r="HW21" t="e">
        <f>AND(#REF!,"AAAAAF1vteY=")</f>
        <v>#REF!</v>
      </c>
      <c r="HX21" t="e">
        <f>IF(#REF!,"AAAAAF1vtec=",0)</f>
        <v>#REF!</v>
      </c>
      <c r="HY21" t="e">
        <f>AND(#REF!,"AAAAAF1vteg=")</f>
        <v>#REF!</v>
      </c>
      <c r="HZ21" t="e">
        <f>AND(#REF!,"AAAAAF1vtek=")</f>
        <v>#REF!</v>
      </c>
      <c r="IA21" t="e">
        <f>AND(#REF!,"AAAAAF1vteo=")</f>
        <v>#REF!</v>
      </c>
      <c r="IB21" t="e">
        <f>AND(#REF!,"AAAAAF1vtes=")</f>
        <v>#REF!</v>
      </c>
      <c r="IC21" t="e">
        <f>AND(#REF!,"AAAAAF1vtew=")</f>
        <v>#REF!</v>
      </c>
      <c r="ID21" t="e">
        <f>AND(#REF!,"AAAAAF1vte0=")</f>
        <v>#REF!</v>
      </c>
      <c r="IE21" t="e">
        <f>AND(#REF!,"AAAAAF1vte4=")</f>
        <v>#REF!</v>
      </c>
      <c r="IF21" t="e">
        <f>AND(#REF!,"AAAAAF1vte8=")</f>
        <v>#REF!</v>
      </c>
      <c r="IG21" t="e">
        <f>AND(#REF!,"AAAAAF1vtfA=")</f>
        <v>#REF!</v>
      </c>
      <c r="IH21" t="e">
        <f>AND(#REF!,"AAAAAF1vtfE=")</f>
        <v>#REF!</v>
      </c>
      <c r="II21" t="e">
        <f>AND(#REF!,"AAAAAF1vtfI=")</f>
        <v>#REF!</v>
      </c>
      <c r="IJ21" t="e">
        <f>AND(#REF!,"AAAAAF1vtfM=")</f>
        <v>#REF!</v>
      </c>
      <c r="IK21" t="e">
        <f>AND(#REF!,"AAAAAF1vtfQ=")</f>
        <v>#REF!</v>
      </c>
      <c r="IL21" t="e">
        <f>AND(#REF!,"AAAAAF1vtfU=")</f>
        <v>#REF!</v>
      </c>
      <c r="IM21" t="e">
        <f>AND(#REF!,"AAAAAF1vtfY=")</f>
        <v>#REF!</v>
      </c>
      <c r="IN21" t="e">
        <f>AND(#REF!,"AAAAAF1vtfc=")</f>
        <v>#REF!</v>
      </c>
      <c r="IO21" t="e">
        <f>AND(#REF!,"AAAAAF1vtfg=")</f>
        <v>#REF!</v>
      </c>
      <c r="IP21" t="e">
        <f>AND(#REF!,"AAAAAF1vtfk=")</f>
        <v>#REF!</v>
      </c>
      <c r="IQ21" t="e">
        <f>AND(#REF!,"AAAAAF1vtfo=")</f>
        <v>#REF!</v>
      </c>
      <c r="IR21" t="e">
        <f>AND(#REF!,"AAAAAF1vtfs=")</f>
        <v>#REF!</v>
      </c>
      <c r="IS21" t="e">
        <f>AND(#REF!,"AAAAAF1vtfw=")</f>
        <v>#REF!</v>
      </c>
      <c r="IT21" t="e">
        <f>AND(#REF!,"AAAAAF1vtf0=")</f>
        <v>#REF!</v>
      </c>
      <c r="IU21" t="e">
        <f>AND(#REF!,"AAAAAF1vtf4=")</f>
        <v>#REF!</v>
      </c>
      <c r="IV21" t="e">
        <f>IF(#REF!,"AAAAAF1vtf8=",0)</f>
        <v>#REF!</v>
      </c>
    </row>
    <row r="22" spans="1:256" x14ac:dyDescent="0.25">
      <c r="A22" t="e">
        <f>AND(#REF!,"AAAAACe3fwA=")</f>
        <v>#REF!</v>
      </c>
      <c r="B22" t="e">
        <f>AND(#REF!,"AAAAACe3fwE=")</f>
        <v>#REF!</v>
      </c>
      <c r="C22" t="e">
        <f>AND(#REF!,"AAAAACe3fwI=")</f>
        <v>#REF!</v>
      </c>
      <c r="D22" t="e">
        <f>AND(#REF!,"AAAAACe3fwM=")</f>
        <v>#REF!</v>
      </c>
      <c r="E22" t="e">
        <f>AND(#REF!,"AAAAACe3fwQ=")</f>
        <v>#REF!</v>
      </c>
      <c r="F22" t="e">
        <f>AND(#REF!,"AAAAACe3fwU=")</f>
        <v>#REF!</v>
      </c>
      <c r="G22" t="e">
        <f>AND(#REF!,"AAAAACe3fwY=")</f>
        <v>#REF!</v>
      </c>
      <c r="H22" t="e">
        <f>AND(#REF!,"AAAAACe3fwc=")</f>
        <v>#REF!</v>
      </c>
      <c r="I22" t="e">
        <f>AND(#REF!,"AAAAACe3fwg=")</f>
        <v>#REF!</v>
      </c>
      <c r="J22" t="e">
        <f>AND(#REF!,"AAAAACe3fwk=")</f>
        <v>#REF!</v>
      </c>
      <c r="K22" t="e">
        <f>AND(#REF!,"AAAAACe3fwo=")</f>
        <v>#REF!</v>
      </c>
      <c r="L22" t="e">
        <f>AND(#REF!,"AAAAACe3fws=")</f>
        <v>#REF!</v>
      </c>
      <c r="M22" t="e">
        <f>AND(#REF!,"AAAAACe3fww=")</f>
        <v>#REF!</v>
      </c>
      <c r="N22" t="e">
        <f>AND(#REF!,"AAAAACe3fw0=")</f>
        <v>#REF!</v>
      </c>
      <c r="O22" t="e">
        <f>AND(#REF!,"AAAAACe3fw4=")</f>
        <v>#REF!</v>
      </c>
      <c r="P22" t="e">
        <f>AND(#REF!,"AAAAACe3fw8=")</f>
        <v>#REF!</v>
      </c>
      <c r="Q22" t="e">
        <f>AND(#REF!,"AAAAACe3fxA=")</f>
        <v>#REF!</v>
      </c>
      <c r="R22" t="e">
        <f>AND(#REF!,"AAAAACe3fxE=")</f>
        <v>#REF!</v>
      </c>
      <c r="S22" t="e">
        <f>AND(#REF!,"AAAAACe3fxI=")</f>
        <v>#REF!</v>
      </c>
      <c r="T22" t="e">
        <f>AND(#REF!,"AAAAACe3fxM=")</f>
        <v>#REF!</v>
      </c>
      <c r="U22" t="e">
        <f>AND(#REF!,"AAAAACe3fxQ=")</f>
        <v>#REF!</v>
      </c>
      <c r="V22" t="e">
        <f>AND(#REF!,"AAAAACe3fxU=")</f>
        <v>#REF!</v>
      </c>
      <c r="W22" t="e">
        <f>AND(#REF!,"AAAAACe3fxY=")</f>
        <v>#REF!</v>
      </c>
      <c r="X22" t="e">
        <f>IF(#REF!,"AAAAACe3fxc=",0)</f>
        <v>#REF!</v>
      </c>
      <c r="Y22" t="e">
        <f>AND(#REF!,"AAAAACe3fxg=")</f>
        <v>#REF!</v>
      </c>
      <c r="Z22" t="e">
        <f>AND(#REF!,"AAAAACe3fxk=")</f>
        <v>#REF!</v>
      </c>
      <c r="AA22" t="e">
        <f>AND(#REF!,"AAAAACe3fxo=")</f>
        <v>#REF!</v>
      </c>
      <c r="AB22" t="e">
        <f>AND(#REF!,"AAAAACe3fxs=")</f>
        <v>#REF!</v>
      </c>
      <c r="AC22" t="e">
        <f>AND(#REF!,"AAAAACe3fxw=")</f>
        <v>#REF!</v>
      </c>
      <c r="AD22" t="e">
        <f>AND(#REF!,"AAAAACe3fx0=")</f>
        <v>#REF!</v>
      </c>
      <c r="AE22" t="e">
        <f>AND(#REF!,"AAAAACe3fx4=")</f>
        <v>#REF!</v>
      </c>
      <c r="AF22" t="e">
        <f>AND(#REF!,"AAAAACe3fx8=")</f>
        <v>#REF!</v>
      </c>
      <c r="AG22" t="e">
        <f>AND(#REF!,"AAAAACe3fyA=")</f>
        <v>#REF!</v>
      </c>
      <c r="AH22" t="e">
        <f>AND(#REF!,"AAAAACe3fyE=")</f>
        <v>#REF!</v>
      </c>
      <c r="AI22" t="e">
        <f>AND(#REF!,"AAAAACe3fyI=")</f>
        <v>#REF!</v>
      </c>
      <c r="AJ22" t="e">
        <f>AND(#REF!,"AAAAACe3fyM=")</f>
        <v>#REF!</v>
      </c>
      <c r="AK22" t="e">
        <f>AND(#REF!,"AAAAACe3fyQ=")</f>
        <v>#REF!</v>
      </c>
      <c r="AL22" t="e">
        <f>AND(#REF!,"AAAAACe3fyU=")</f>
        <v>#REF!</v>
      </c>
      <c r="AM22" t="e">
        <f>AND(#REF!,"AAAAACe3fyY=")</f>
        <v>#REF!</v>
      </c>
      <c r="AN22" t="e">
        <f>AND(#REF!,"AAAAACe3fyc=")</f>
        <v>#REF!</v>
      </c>
      <c r="AO22" t="e">
        <f>AND(#REF!,"AAAAACe3fyg=")</f>
        <v>#REF!</v>
      </c>
      <c r="AP22" t="e">
        <f>AND(#REF!,"AAAAACe3fyk=")</f>
        <v>#REF!</v>
      </c>
      <c r="AQ22" t="e">
        <f>AND(#REF!,"AAAAACe3fyo=")</f>
        <v>#REF!</v>
      </c>
      <c r="AR22" t="e">
        <f>AND(#REF!,"AAAAACe3fys=")</f>
        <v>#REF!</v>
      </c>
      <c r="AS22" t="e">
        <f>AND(#REF!,"AAAAACe3fyw=")</f>
        <v>#REF!</v>
      </c>
      <c r="AT22" t="e">
        <f>AND(#REF!,"AAAAACe3fy0=")</f>
        <v>#REF!</v>
      </c>
      <c r="AU22" t="e">
        <f>AND(#REF!,"AAAAACe3fy4=")</f>
        <v>#REF!</v>
      </c>
      <c r="AV22" t="e">
        <f>IF(#REF!,"AAAAACe3fy8=",0)</f>
        <v>#REF!</v>
      </c>
      <c r="AW22" t="e">
        <f>AND(#REF!,"AAAAACe3fzA=")</f>
        <v>#REF!</v>
      </c>
      <c r="AX22" t="e">
        <f>AND(#REF!,"AAAAACe3fzE=")</f>
        <v>#REF!</v>
      </c>
      <c r="AY22" t="e">
        <f>AND(#REF!,"AAAAACe3fzI=")</f>
        <v>#REF!</v>
      </c>
      <c r="AZ22" t="e">
        <f>AND(#REF!,"AAAAACe3fzM=")</f>
        <v>#REF!</v>
      </c>
      <c r="BA22" t="e">
        <f>AND(#REF!,"AAAAACe3fzQ=")</f>
        <v>#REF!</v>
      </c>
      <c r="BB22" t="e">
        <f>AND(#REF!,"AAAAACe3fzU=")</f>
        <v>#REF!</v>
      </c>
      <c r="BC22" t="e">
        <f>AND(#REF!,"AAAAACe3fzY=")</f>
        <v>#REF!</v>
      </c>
      <c r="BD22" t="e">
        <f>AND(#REF!,"AAAAACe3fzc=")</f>
        <v>#REF!</v>
      </c>
      <c r="BE22" t="e">
        <f>AND(#REF!,"AAAAACe3fzg=")</f>
        <v>#REF!</v>
      </c>
      <c r="BF22" t="e">
        <f>AND(#REF!,"AAAAACe3fzk=")</f>
        <v>#REF!</v>
      </c>
      <c r="BG22" t="e">
        <f>AND(#REF!,"AAAAACe3fzo=")</f>
        <v>#REF!</v>
      </c>
      <c r="BH22" t="e">
        <f>AND(#REF!,"AAAAACe3fzs=")</f>
        <v>#REF!</v>
      </c>
      <c r="BI22" t="e">
        <f>AND(#REF!,"AAAAACe3fzw=")</f>
        <v>#REF!</v>
      </c>
      <c r="BJ22" t="e">
        <f>AND(#REF!,"AAAAACe3fz0=")</f>
        <v>#REF!</v>
      </c>
      <c r="BK22" t="e">
        <f>AND(#REF!,"AAAAACe3fz4=")</f>
        <v>#REF!</v>
      </c>
      <c r="BL22" t="e">
        <f>AND(#REF!,"AAAAACe3fz8=")</f>
        <v>#REF!</v>
      </c>
      <c r="BM22" t="e">
        <f>AND(#REF!,"AAAAACe3f0A=")</f>
        <v>#REF!</v>
      </c>
      <c r="BN22" t="e">
        <f>AND(#REF!,"AAAAACe3f0E=")</f>
        <v>#REF!</v>
      </c>
      <c r="BO22" t="e">
        <f>AND(#REF!,"AAAAACe3f0I=")</f>
        <v>#REF!</v>
      </c>
      <c r="BP22" t="e">
        <f>AND(#REF!,"AAAAACe3f0M=")</f>
        <v>#REF!</v>
      </c>
      <c r="BQ22" t="e">
        <f>AND(#REF!,"AAAAACe3f0Q=")</f>
        <v>#REF!</v>
      </c>
      <c r="BR22" t="e">
        <f>AND(#REF!,"AAAAACe3f0U=")</f>
        <v>#REF!</v>
      </c>
      <c r="BS22" t="e">
        <f>AND(#REF!,"AAAAACe3f0Y=")</f>
        <v>#REF!</v>
      </c>
      <c r="BT22" t="e">
        <f>IF(#REF!,"AAAAACe3f0c=",0)</f>
        <v>#REF!</v>
      </c>
      <c r="BU22" t="e">
        <f>IF(#REF!,"AAAAACe3f0g=",0)</f>
        <v>#REF!</v>
      </c>
      <c r="BV22" t="e">
        <f>IF(#REF!,"AAAAACe3f0k=",0)</f>
        <v>#REF!</v>
      </c>
      <c r="BW22" t="e">
        <f>IF(#REF!,"AAAAACe3f0o=",0)</f>
        <v>#REF!</v>
      </c>
      <c r="BX22" t="e">
        <f>IF(#REF!,"AAAAACe3f0s=",0)</f>
        <v>#REF!</v>
      </c>
      <c r="BY22" t="e">
        <f>IF(#REF!,"AAAAACe3f0w=",0)</f>
        <v>#REF!</v>
      </c>
      <c r="BZ22" t="e">
        <f>IF(#REF!,"AAAAACe3f00=",0)</f>
        <v>#REF!</v>
      </c>
      <c r="CA22" t="e">
        <f>IF(#REF!,"AAAAACe3f04=",0)</f>
        <v>#REF!</v>
      </c>
      <c r="CB22" t="e">
        <f>IF(#REF!,"AAAAACe3f08=",0)</f>
        <v>#REF!</v>
      </c>
      <c r="CC22" t="e">
        <f>IF(#REF!,"AAAAACe3f1A=",0)</f>
        <v>#REF!</v>
      </c>
      <c r="CD22" t="e">
        <f>IF(#REF!,"AAAAACe3f1E=",0)</f>
        <v>#REF!</v>
      </c>
      <c r="CE22" t="e">
        <f>IF(#REF!,"AAAAACe3f1I=",0)</f>
        <v>#REF!</v>
      </c>
      <c r="CF22" t="e">
        <f>IF(#REF!,"AAAAACe3f1M=",0)</f>
        <v>#REF!</v>
      </c>
      <c r="CG22" t="e">
        <f>IF(#REF!,"AAAAACe3f1Q=",0)</f>
        <v>#REF!</v>
      </c>
      <c r="CH22" t="e">
        <f>IF(#REF!,"AAAAACe3f1U=",0)</f>
        <v>#REF!</v>
      </c>
      <c r="CI22" t="e">
        <f>IF(#REF!,"AAAAACe3f1Y=",0)</f>
        <v>#REF!</v>
      </c>
      <c r="CJ22" t="e">
        <f>IF(#REF!,"AAAAACe3f1c=",0)</f>
        <v>#REF!</v>
      </c>
      <c r="CK22" t="e">
        <f>IF(#REF!,"AAAAACe3f1g=",0)</f>
        <v>#REF!</v>
      </c>
      <c r="CL22" t="e">
        <f>IF(#REF!,"AAAAACe3f1k=",0)</f>
        <v>#REF!</v>
      </c>
      <c r="CM22" t="e">
        <f>IF(#REF!,"AAAAACe3f1o=",0)</f>
        <v>#REF!</v>
      </c>
      <c r="CN22" t="e">
        <f>IF(#REF!,"AAAAACe3f1s=",0)</f>
        <v>#REF!</v>
      </c>
      <c r="CO22" t="e">
        <f>IF(#REF!,"AAAAACe3f1w=",0)</f>
        <v>#REF!</v>
      </c>
      <c r="CP22" t="e">
        <f>IF(#REF!,"AAAAACe3f10=",0)</f>
        <v>#REF!</v>
      </c>
      <c r="CQ22" t="e">
        <f>IF(#REF!,"AAAAACe3f14=",0)</f>
        <v>#REF!</v>
      </c>
      <c r="CR22" t="e">
        <f>AND(#REF!,"AAAAACe3f18=")</f>
        <v>#REF!</v>
      </c>
      <c r="CS22" t="e">
        <f>AND(#REF!,"AAAAACe3f2A=")</f>
        <v>#REF!</v>
      </c>
      <c r="CT22" t="e">
        <f>AND(#REF!,"AAAAACe3f2E=")</f>
        <v>#REF!</v>
      </c>
      <c r="CU22" t="e">
        <f>AND(#REF!,"AAAAACe3f2I=")</f>
        <v>#REF!</v>
      </c>
      <c r="CV22" t="e">
        <f>AND(#REF!,"AAAAACe3f2M=")</f>
        <v>#REF!</v>
      </c>
      <c r="CW22" t="e">
        <f>AND(#REF!,"AAAAACe3f2Q=")</f>
        <v>#REF!</v>
      </c>
      <c r="CX22" t="e">
        <f>AND(#REF!,"AAAAACe3f2U=")</f>
        <v>#REF!</v>
      </c>
      <c r="CY22" t="e">
        <f>AND(#REF!,"AAAAACe3f2Y=")</f>
        <v>#REF!</v>
      </c>
      <c r="CZ22" t="e">
        <f>AND(#REF!,"AAAAACe3f2c=")</f>
        <v>#REF!</v>
      </c>
      <c r="DA22" t="e">
        <f>AND(#REF!,"AAAAACe3f2g=")</f>
        <v>#REF!</v>
      </c>
      <c r="DB22" t="e">
        <f>AND(#REF!,"AAAAACe3f2k=")</f>
        <v>#REF!</v>
      </c>
      <c r="DC22" t="e">
        <f>AND(#REF!,"AAAAACe3f2o=")</f>
        <v>#REF!</v>
      </c>
      <c r="DD22" t="e">
        <f>AND(#REF!,"AAAAACe3f2s=")</f>
        <v>#REF!</v>
      </c>
      <c r="DE22" t="e">
        <f>AND(#REF!,"AAAAACe3f2w=")</f>
        <v>#REF!</v>
      </c>
      <c r="DF22" t="e">
        <f>AND(#REF!,"AAAAACe3f20=")</f>
        <v>#REF!</v>
      </c>
      <c r="DG22" t="e">
        <f>AND(#REF!,"AAAAACe3f24=")</f>
        <v>#REF!</v>
      </c>
      <c r="DH22" t="e">
        <f>AND(#REF!,"AAAAACe3f28=")</f>
        <v>#REF!</v>
      </c>
      <c r="DI22" t="e">
        <f>AND(#REF!,"AAAAACe3f3A=")</f>
        <v>#REF!</v>
      </c>
      <c r="DJ22" t="e">
        <f>AND(#REF!,"AAAAACe3f3E=")</f>
        <v>#REF!</v>
      </c>
      <c r="DK22" t="e">
        <f>AND(#REF!,"AAAAACe3f3I=")</f>
        <v>#REF!</v>
      </c>
      <c r="DL22" t="e">
        <f>AND(#REF!,"AAAAACe3f3M=")</f>
        <v>#REF!</v>
      </c>
      <c r="DM22" t="e">
        <f>AND(#REF!,"AAAAACe3f3Q=")</f>
        <v>#REF!</v>
      </c>
      <c r="DN22" t="e">
        <f>AND(#REF!,"AAAAACe3f3U=")</f>
        <v>#REF!</v>
      </c>
      <c r="DO22" t="e">
        <f>IF(#REF!,"AAAAACe3f3Y=",0)</f>
        <v>#REF!</v>
      </c>
      <c r="DP22" t="e">
        <f>AND(#REF!,"AAAAACe3f3c=")</f>
        <v>#REF!</v>
      </c>
      <c r="DQ22" t="e">
        <f>AND(#REF!,"AAAAACe3f3g=")</f>
        <v>#REF!</v>
      </c>
      <c r="DR22" t="e">
        <f>AND(#REF!,"AAAAACe3f3k=")</f>
        <v>#REF!</v>
      </c>
      <c r="DS22" t="e">
        <f>AND(#REF!,"AAAAACe3f3o=")</f>
        <v>#REF!</v>
      </c>
      <c r="DT22" t="e">
        <f>AND(#REF!,"AAAAACe3f3s=")</f>
        <v>#REF!</v>
      </c>
      <c r="DU22" t="e">
        <f>AND(#REF!,"AAAAACe3f3w=")</f>
        <v>#REF!</v>
      </c>
      <c r="DV22" t="e">
        <f>AND(#REF!,"AAAAACe3f30=")</f>
        <v>#REF!</v>
      </c>
      <c r="DW22" t="e">
        <f>AND(#REF!,"AAAAACe3f34=")</f>
        <v>#REF!</v>
      </c>
      <c r="DX22" t="e">
        <f>AND(#REF!,"AAAAACe3f38=")</f>
        <v>#REF!</v>
      </c>
      <c r="DY22" t="e">
        <f>AND(#REF!,"AAAAACe3f4A=")</f>
        <v>#REF!</v>
      </c>
      <c r="DZ22" t="e">
        <f>AND(#REF!,"AAAAACe3f4E=")</f>
        <v>#REF!</v>
      </c>
      <c r="EA22" t="e">
        <f>AND(#REF!,"AAAAACe3f4I=")</f>
        <v>#REF!</v>
      </c>
      <c r="EB22" t="e">
        <f>AND(#REF!,"AAAAACe3f4M=")</f>
        <v>#REF!</v>
      </c>
      <c r="EC22" t="e">
        <f>AND(#REF!,"AAAAACe3f4Q=")</f>
        <v>#REF!</v>
      </c>
      <c r="ED22" t="e">
        <f>AND(#REF!,"AAAAACe3f4U=")</f>
        <v>#REF!</v>
      </c>
      <c r="EE22" t="e">
        <f>AND(#REF!,"AAAAACe3f4Y=")</f>
        <v>#REF!</v>
      </c>
      <c r="EF22" t="e">
        <f>AND(#REF!,"AAAAACe3f4c=")</f>
        <v>#REF!</v>
      </c>
      <c r="EG22" t="e">
        <f>AND(#REF!,"AAAAACe3f4g=")</f>
        <v>#REF!</v>
      </c>
      <c r="EH22" t="e">
        <f>AND(#REF!,"AAAAACe3f4k=")</f>
        <v>#REF!</v>
      </c>
      <c r="EI22" t="e">
        <f>AND(#REF!,"AAAAACe3f4o=")</f>
        <v>#REF!</v>
      </c>
      <c r="EJ22" t="e">
        <f>AND(#REF!,"AAAAACe3f4s=")</f>
        <v>#REF!</v>
      </c>
      <c r="EK22" t="e">
        <f>AND(#REF!,"AAAAACe3f4w=")</f>
        <v>#REF!</v>
      </c>
      <c r="EL22" t="e">
        <f>AND(#REF!,"AAAAACe3f40=")</f>
        <v>#REF!</v>
      </c>
      <c r="EM22" t="e">
        <f>IF(#REF!,"AAAAACe3f44=",0)</f>
        <v>#REF!</v>
      </c>
      <c r="EN22" t="e">
        <f>AND(#REF!,"AAAAACe3f48=")</f>
        <v>#REF!</v>
      </c>
      <c r="EO22" t="e">
        <f>AND(#REF!,"AAAAACe3f5A=")</f>
        <v>#REF!</v>
      </c>
      <c r="EP22" t="e">
        <f>AND(#REF!,"AAAAACe3f5E=")</f>
        <v>#REF!</v>
      </c>
      <c r="EQ22" t="e">
        <f>AND(#REF!,"AAAAACe3f5I=")</f>
        <v>#REF!</v>
      </c>
      <c r="ER22" t="e">
        <f>AND(#REF!,"AAAAACe3f5M=")</f>
        <v>#REF!</v>
      </c>
      <c r="ES22" t="e">
        <f>AND(#REF!,"AAAAACe3f5Q=")</f>
        <v>#REF!</v>
      </c>
      <c r="ET22" t="e">
        <f>AND(#REF!,"AAAAACe3f5U=")</f>
        <v>#REF!</v>
      </c>
      <c r="EU22" t="e">
        <f>AND(#REF!,"AAAAACe3f5Y=")</f>
        <v>#REF!</v>
      </c>
      <c r="EV22" t="e">
        <f>AND(#REF!,"AAAAACe3f5c=")</f>
        <v>#REF!</v>
      </c>
      <c r="EW22" t="e">
        <f>AND(#REF!,"AAAAACe3f5g=")</f>
        <v>#REF!</v>
      </c>
      <c r="EX22" t="e">
        <f>AND(#REF!,"AAAAACe3f5k=")</f>
        <v>#REF!</v>
      </c>
      <c r="EY22" t="e">
        <f>AND(#REF!,"AAAAACe3f5o=")</f>
        <v>#REF!</v>
      </c>
      <c r="EZ22" t="e">
        <f>AND(#REF!,"AAAAACe3f5s=")</f>
        <v>#REF!</v>
      </c>
      <c r="FA22" t="e">
        <f>AND(#REF!,"AAAAACe3f5w=")</f>
        <v>#REF!</v>
      </c>
      <c r="FB22" t="e">
        <f>AND(#REF!,"AAAAACe3f50=")</f>
        <v>#REF!</v>
      </c>
      <c r="FC22" t="e">
        <f>AND(#REF!,"AAAAACe3f54=")</f>
        <v>#REF!</v>
      </c>
      <c r="FD22" t="e">
        <f>AND(#REF!,"AAAAACe3f58=")</f>
        <v>#REF!</v>
      </c>
      <c r="FE22" t="e">
        <f>AND(#REF!,"AAAAACe3f6A=")</f>
        <v>#REF!</v>
      </c>
      <c r="FF22" t="e">
        <f>AND(#REF!,"AAAAACe3f6E=")</f>
        <v>#REF!</v>
      </c>
      <c r="FG22" t="e">
        <f>AND(#REF!,"AAAAACe3f6I=")</f>
        <v>#REF!</v>
      </c>
      <c r="FH22" t="e">
        <f>AND(#REF!,"AAAAACe3f6M=")</f>
        <v>#REF!</v>
      </c>
      <c r="FI22" t="e">
        <f>AND(#REF!,"AAAAACe3f6Q=")</f>
        <v>#REF!</v>
      </c>
      <c r="FJ22" t="e">
        <f>AND(#REF!,"AAAAACe3f6U=")</f>
        <v>#REF!</v>
      </c>
      <c r="FK22" t="e">
        <f>IF(#REF!,"AAAAACe3f6Y=",0)</f>
        <v>#REF!</v>
      </c>
      <c r="FL22" t="e">
        <f>AND(#REF!,"AAAAACe3f6c=")</f>
        <v>#REF!</v>
      </c>
      <c r="FM22" t="e">
        <f>AND(#REF!,"AAAAACe3f6g=")</f>
        <v>#REF!</v>
      </c>
      <c r="FN22" t="e">
        <f>AND(#REF!,"AAAAACe3f6k=")</f>
        <v>#REF!</v>
      </c>
      <c r="FO22" t="e">
        <f>AND(#REF!,"AAAAACe3f6o=")</f>
        <v>#REF!</v>
      </c>
      <c r="FP22" t="e">
        <f>AND(#REF!,"AAAAACe3f6s=")</f>
        <v>#REF!</v>
      </c>
      <c r="FQ22" t="e">
        <f>AND(#REF!,"AAAAACe3f6w=")</f>
        <v>#REF!</v>
      </c>
      <c r="FR22" t="e">
        <f>AND(#REF!,"AAAAACe3f60=")</f>
        <v>#REF!</v>
      </c>
      <c r="FS22" t="e">
        <f>AND(#REF!,"AAAAACe3f64=")</f>
        <v>#REF!</v>
      </c>
      <c r="FT22" t="e">
        <f>AND(#REF!,"AAAAACe3f68=")</f>
        <v>#REF!</v>
      </c>
      <c r="FU22" t="e">
        <f>AND(#REF!,"AAAAACe3f7A=")</f>
        <v>#REF!</v>
      </c>
      <c r="FV22" t="e">
        <f>AND(#REF!,"AAAAACe3f7E=")</f>
        <v>#REF!</v>
      </c>
      <c r="FW22" t="e">
        <f>AND(#REF!,"AAAAACe3f7I=")</f>
        <v>#REF!</v>
      </c>
      <c r="FX22" t="e">
        <f>AND(#REF!,"AAAAACe3f7M=")</f>
        <v>#REF!</v>
      </c>
      <c r="FY22" t="e">
        <f>AND(#REF!,"AAAAACe3f7Q=")</f>
        <v>#REF!</v>
      </c>
      <c r="FZ22" t="e">
        <f>AND(#REF!,"AAAAACe3f7U=")</f>
        <v>#REF!</v>
      </c>
      <c r="GA22" t="e">
        <f>AND(#REF!,"AAAAACe3f7Y=")</f>
        <v>#REF!</v>
      </c>
      <c r="GB22" t="e">
        <f>AND(#REF!,"AAAAACe3f7c=")</f>
        <v>#REF!</v>
      </c>
      <c r="GC22" t="e">
        <f>AND(#REF!,"AAAAACe3f7g=")</f>
        <v>#REF!</v>
      </c>
      <c r="GD22" t="e">
        <f>AND(#REF!,"AAAAACe3f7k=")</f>
        <v>#REF!</v>
      </c>
      <c r="GE22" t="e">
        <f>AND(#REF!,"AAAAACe3f7o=")</f>
        <v>#REF!</v>
      </c>
      <c r="GF22" t="e">
        <f>AND(#REF!,"AAAAACe3f7s=")</f>
        <v>#REF!</v>
      </c>
      <c r="GG22" t="e">
        <f>AND(#REF!,"AAAAACe3f7w=")</f>
        <v>#REF!</v>
      </c>
      <c r="GH22" t="e">
        <f>AND(#REF!,"AAAAACe3f70=")</f>
        <v>#REF!</v>
      </c>
      <c r="GI22" t="e">
        <f>IF(#REF!,"AAAAACe3f74=",0)</f>
        <v>#REF!</v>
      </c>
      <c r="GJ22" t="e">
        <f>AND(#REF!,"AAAAACe3f78=")</f>
        <v>#REF!</v>
      </c>
      <c r="GK22" t="e">
        <f>AND(#REF!,"AAAAACe3f8A=")</f>
        <v>#REF!</v>
      </c>
      <c r="GL22" t="e">
        <f>AND(#REF!,"AAAAACe3f8E=")</f>
        <v>#REF!</v>
      </c>
      <c r="GM22" t="e">
        <f>AND(#REF!,"AAAAACe3f8I=")</f>
        <v>#REF!</v>
      </c>
      <c r="GN22" t="e">
        <f>AND(#REF!,"AAAAACe3f8M=")</f>
        <v>#REF!</v>
      </c>
      <c r="GO22" t="e">
        <f>AND(#REF!,"AAAAACe3f8Q=")</f>
        <v>#REF!</v>
      </c>
      <c r="GP22" t="e">
        <f>AND(#REF!,"AAAAACe3f8U=")</f>
        <v>#REF!</v>
      </c>
      <c r="GQ22" t="e">
        <f>AND(#REF!,"AAAAACe3f8Y=")</f>
        <v>#REF!</v>
      </c>
      <c r="GR22" t="e">
        <f>AND(#REF!,"AAAAACe3f8c=")</f>
        <v>#REF!</v>
      </c>
      <c r="GS22" t="e">
        <f>AND(#REF!,"AAAAACe3f8g=")</f>
        <v>#REF!</v>
      </c>
      <c r="GT22" t="e">
        <f>AND(#REF!,"AAAAACe3f8k=")</f>
        <v>#REF!</v>
      </c>
      <c r="GU22" t="e">
        <f>AND(#REF!,"AAAAACe3f8o=")</f>
        <v>#REF!</v>
      </c>
      <c r="GV22" t="e">
        <f>AND(#REF!,"AAAAACe3f8s=")</f>
        <v>#REF!</v>
      </c>
      <c r="GW22" t="e">
        <f>AND(#REF!,"AAAAACe3f8w=")</f>
        <v>#REF!</v>
      </c>
      <c r="GX22" t="e">
        <f>AND(#REF!,"AAAAACe3f80=")</f>
        <v>#REF!</v>
      </c>
      <c r="GY22" t="e">
        <f>AND(#REF!,"AAAAACe3f84=")</f>
        <v>#REF!</v>
      </c>
      <c r="GZ22" t="e">
        <f>AND(#REF!,"AAAAACe3f88=")</f>
        <v>#REF!</v>
      </c>
      <c r="HA22" t="e">
        <f>AND(#REF!,"AAAAACe3f9A=")</f>
        <v>#REF!</v>
      </c>
      <c r="HB22" t="e">
        <f>AND(#REF!,"AAAAACe3f9E=")</f>
        <v>#REF!</v>
      </c>
      <c r="HC22" t="e">
        <f>AND(#REF!,"AAAAACe3f9I=")</f>
        <v>#REF!</v>
      </c>
      <c r="HD22" t="e">
        <f>AND(#REF!,"AAAAACe3f9M=")</f>
        <v>#REF!</v>
      </c>
      <c r="HE22" t="e">
        <f>AND(#REF!,"AAAAACe3f9Q=")</f>
        <v>#REF!</v>
      </c>
      <c r="HF22" t="e">
        <f>AND(#REF!,"AAAAACe3f9U=")</f>
        <v>#REF!</v>
      </c>
      <c r="HG22" t="e">
        <f>IF(#REF!,"AAAAACe3f9Y=",0)</f>
        <v>#REF!</v>
      </c>
      <c r="HH22" t="e">
        <f>AND(#REF!,"AAAAACe3f9c=")</f>
        <v>#REF!</v>
      </c>
      <c r="HI22" t="e">
        <f>AND(#REF!,"AAAAACe3f9g=")</f>
        <v>#REF!</v>
      </c>
      <c r="HJ22" t="e">
        <f>AND(#REF!,"AAAAACe3f9k=")</f>
        <v>#REF!</v>
      </c>
      <c r="HK22" t="e">
        <f>AND(#REF!,"AAAAACe3f9o=")</f>
        <v>#REF!</v>
      </c>
      <c r="HL22" t="e">
        <f>AND(#REF!,"AAAAACe3f9s=")</f>
        <v>#REF!</v>
      </c>
      <c r="HM22" t="e">
        <f>AND(#REF!,"AAAAACe3f9w=")</f>
        <v>#REF!</v>
      </c>
      <c r="HN22" t="e">
        <f>AND(#REF!,"AAAAACe3f90=")</f>
        <v>#REF!</v>
      </c>
      <c r="HO22" t="e">
        <f>AND(#REF!,"AAAAACe3f94=")</f>
        <v>#REF!</v>
      </c>
      <c r="HP22" t="e">
        <f>AND(#REF!,"AAAAACe3f98=")</f>
        <v>#REF!</v>
      </c>
      <c r="HQ22" t="e">
        <f>AND(#REF!,"AAAAACe3f+A=")</f>
        <v>#REF!</v>
      </c>
      <c r="HR22" t="e">
        <f>AND(#REF!,"AAAAACe3f+E=")</f>
        <v>#REF!</v>
      </c>
      <c r="HS22" t="e">
        <f>AND(#REF!,"AAAAACe3f+I=")</f>
        <v>#REF!</v>
      </c>
      <c r="HT22" t="e">
        <f>AND(#REF!,"AAAAACe3f+M=")</f>
        <v>#REF!</v>
      </c>
      <c r="HU22" t="e">
        <f>AND(#REF!,"AAAAACe3f+Q=")</f>
        <v>#REF!</v>
      </c>
      <c r="HV22" t="e">
        <f>AND(#REF!,"AAAAACe3f+U=")</f>
        <v>#REF!</v>
      </c>
      <c r="HW22" t="e">
        <f>AND(#REF!,"AAAAACe3f+Y=")</f>
        <v>#REF!</v>
      </c>
      <c r="HX22" t="e">
        <f>AND(#REF!,"AAAAACe3f+c=")</f>
        <v>#REF!</v>
      </c>
      <c r="HY22" t="e">
        <f>AND(#REF!,"AAAAACe3f+g=")</f>
        <v>#REF!</v>
      </c>
      <c r="HZ22" t="e">
        <f>AND(#REF!,"AAAAACe3f+k=")</f>
        <v>#REF!</v>
      </c>
      <c r="IA22" t="e">
        <f>AND(#REF!,"AAAAACe3f+o=")</f>
        <v>#REF!</v>
      </c>
      <c r="IB22" t="e">
        <f>AND(#REF!,"AAAAACe3f+s=")</f>
        <v>#REF!</v>
      </c>
      <c r="IC22" t="e">
        <f>AND(#REF!,"AAAAACe3f+w=")</f>
        <v>#REF!</v>
      </c>
      <c r="ID22" t="e">
        <f>AND(#REF!,"AAAAACe3f+0=")</f>
        <v>#REF!</v>
      </c>
      <c r="IE22" t="e">
        <f>IF(#REF!,"AAAAACe3f+4=",0)</f>
        <v>#REF!</v>
      </c>
      <c r="IF22" t="e">
        <f>AND(#REF!,"AAAAACe3f+8=")</f>
        <v>#REF!</v>
      </c>
      <c r="IG22" t="e">
        <f>AND(#REF!,"AAAAACe3f/A=")</f>
        <v>#REF!</v>
      </c>
      <c r="IH22" t="e">
        <f>AND(#REF!,"AAAAACe3f/E=")</f>
        <v>#REF!</v>
      </c>
      <c r="II22" t="e">
        <f>AND(#REF!,"AAAAACe3f/I=")</f>
        <v>#REF!</v>
      </c>
      <c r="IJ22" t="e">
        <f>AND(#REF!,"AAAAACe3f/M=")</f>
        <v>#REF!</v>
      </c>
      <c r="IK22" t="e">
        <f>AND(#REF!,"AAAAACe3f/Q=")</f>
        <v>#REF!</v>
      </c>
      <c r="IL22" t="e">
        <f>AND(#REF!,"AAAAACe3f/U=")</f>
        <v>#REF!</v>
      </c>
      <c r="IM22" t="e">
        <f>AND(#REF!,"AAAAACe3f/Y=")</f>
        <v>#REF!</v>
      </c>
      <c r="IN22" t="e">
        <f>AND(#REF!,"AAAAACe3f/c=")</f>
        <v>#REF!</v>
      </c>
      <c r="IO22" t="e">
        <f>AND(#REF!,"AAAAACe3f/g=")</f>
        <v>#REF!</v>
      </c>
      <c r="IP22" t="e">
        <f>AND(#REF!,"AAAAACe3f/k=")</f>
        <v>#REF!</v>
      </c>
      <c r="IQ22" t="e">
        <f>AND(#REF!,"AAAAACe3f/o=")</f>
        <v>#REF!</v>
      </c>
      <c r="IR22" t="e">
        <f>AND(#REF!,"AAAAACe3f/s=")</f>
        <v>#REF!</v>
      </c>
      <c r="IS22" t="e">
        <f>AND(#REF!,"AAAAACe3f/w=")</f>
        <v>#REF!</v>
      </c>
      <c r="IT22" t="e">
        <f>AND(#REF!,"AAAAACe3f/0=")</f>
        <v>#REF!</v>
      </c>
      <c r="IU22" t="e">
        <f>AND(#REF!,"AAAAACe3f/4=")</f>
        <v>#REF!</v>
      </c>
      <c r="IV22" t="e">
        <f>AND(#REF!,"AAAAACe3f/8=")</f>
        <v>#REF!</v>
      </c>
    </row>
    <row r="23" spans="1:256" x14ac:dyDescent="0.25">
      <c r="A23" t="e">
        <f>AND(#REF!,"AAAAAHYMiwA=")</f>
        <v>#REF!</v>
      </c>
      <c r="B23" t="e">
        <f>AND(#REF!,"AAAAAHYMiwE=")</f>
        <v>#REF!</v>
      </c>
      <c r="C23" t="e">
        <f>AND(#REF!,"AAAAAHYMiwI=")</f>
        <v>#REF!</v>
      </c>
      <c r="D23" t="e">
        <f>AND(#REF!,"AAAAAHYMiwM=")</f>
        <v>#REF!</v>
      </c>
      <c r="E23" t="e">
        <f>AND(#REF!,"AAAAAHYMiwQ=")</f>
        <v>#REF!</v>
      </c>
      <c r="F23" t="e">
        <f>AND(#REF!,"AAAAAHYMiwU=")</f>
        <v>#REF!</v>
      </c>
      <c r="G23" t="e">
        <f>IF(#REF!,"AAAAAHYMiwY=",0)</f>
        <v>#REF!</v>
      </c>
      <c r="H23" t="e">
        <f>AND(#REF!,"AAAAAHYMiwc=")</f>
        <v>#REF!</v>
      </c>
      <c r="I23" t="e">
        <f>AND(#REF!,"AAAAAHYMiwg=")</f>
        <v>#REF!</v>
      </c>
      <c r="J23" t="e">
        <f>AND(#REF!,"AAAAAHYMiwk=")</f>
        <v>#REF!</v>
      </c>
      <c r="K23" t="e">
        <f>AND(#REF!,"AAAAAHYMiwo=")</f>
        <v>#REF!</v>
      </c>
      <c r="L23" t="e">
        <f>AND(#REF!,"AAAAAHYMiws=")</f>
        <v>#REF!</v>
      </c>
      <c r="M23" t="e">
        <f>AND(#REF!,"AAAAAHYMiww=")</f>
        <v>#REF!</v>
      </c>
      <c r="N23" t="e">
        <f>AND(#REF!,"AAAAAHYMiw0=")</f>
        <v>#REF!</v>
      </c>
      <c r="O23" t="e">
        <f>AND(#REF!,"AAAAAHYMiw4=")</f>
        <v>#REF!</v>
      </c>
      <c r="P23" t="e">
        <f>AND(#REF!,"AAAAAHYMiw8=")</f>
        <v>#REF!</v>
      </c>
      <c r="Q23" t="e">
        <f>AND(#REF!,"AAAAAHYMixA=")</f>
        <v>#REF!</v>
      </c>
      <c r="R23" t="e">
        <f>AND(#REF!,"AAAAAHYMixE=")</f>
        <v>#REF!</v>
      </c>
      <c r="S23" t="e">
        <f>AND(#REF!,"AAAAAHYMixI=")</f>
        <v>#REF!</v>
      </c>
      <c r="T23" t="e">
        <f>AND(#REF!,"AAAAAHYMixM=")</f>
        <v>#REF!</v>
      </c>
      <c r="U23" t="e">
        <f>AND(#REF!,"AAAAAHYMixQ=")</f>
        <v>#REF!</v>
      </c>
      <c r="V23" t="e">
        <f>AND(#REF!,"AAAAAHYMixU=")</f>
        <v>#REF!</v>
      </c>
      <c r="W23" t="e">
        <f>AND(#REF!,"AAAAAHYMixY=")</f>
        <v>#REF!</v>
      </c>
      <c r="X23" t="e">
        <f>AND(#REF!,"AAAAAHYMixc=")</f>
        <v>#REF!</v>
      </c>
      <c r="Y23" t="e">
        <f>AND(#REF!,"AAAAAHYMixg=")</f>
        <v>#REF!</v>
      </c>
      <c r="Z23" t="e">
        <f>AND(#REF!,"AAAAAHYMixk=")</f>
        <v>#REF!</v>
      </c>
      <c r="AA23" t="e">
        <f>AND(#REF!,"AAAAAHYMixo=")</f>
        <v>#REF!</v>
      </c>
      <c r="AB23" t="e">
        <f>AND(#REF!,"AAAAAHYMixs=")</f>
        <v>#REF!</v>
      </c>
      <c r="AC23" t="e">
        <f>AND(#REF!,"AAAAAHYMixw=")</f>
        <v>#REF!</v>
      </c>
      <c r="AD23" t="e">
        <f>AND(#REF!,"AAAAAHYMix0=")</f>
        <v>#REF!</v>
      </c>
      <c r="AE23" t="e">
        <f>IF(#REF!,"AAAAAHYMix4=",0)</f>
        <v>#REF!</v>
      </c>
      <c r="AF23" t="e">
        <f>AND(#REF!,"AAAAAHYMix8=")</f>
        <v>#REF!</v>
      </c>
      <c r="AG23" t="e">
        <f>AND(#REF!,"AAAAAHYMiyA=")</f>
        <v>#REF!</v>
      </c>
      <c r="AH23" t="e">
        <f>AND(#REF!,"AAAAAHYMiyE=")</f>
        <v>#REF!</v>
      </c>
      <c r="AI23" t="e">
        <f>AND(#REF!,"AAAAAHYMiyI=")</f>
        <v>#REF!</v>
      </c>
      <c r="AJ23" t="e">
        <f>AND(#REF!,"AAAAAHYMiyM=")</f>
        <v>#REF!</v>
      </c>
      <c r="AK23" t="e">
        <f>AND(#REF!,"AAAAAHYMiyQ=")</f>
        <v>#REF!</v>
      </c>
      <c r="AL23" t="e">
        <f>AND(#REF!,"AAAAAHYMiyU=")</f>
        <v>#REF!</v>
      </c>
      <c r="AM23" t="e">
        <f>AND(#REF!,"AAAAAHYMiyY=")</f>
        <v>#REF!</v>
      </c>
      <c r="AN23" t="e">
        <f>AND(#REF!,"AAAAAHYMiyc=")</f>
        <v>#REF!</v>
      </c>
      <c r="AO23" t="e">
        <f>AND(#REF!,"AAAAAHYMiyg=")</f>
        <v>#REF!</v>
      </c>
      <c r="AP23" t="e">
        <f>AND(#REF!,"AAAAAHYMiyk=")</f>
        <v>#REF!</v>
      </c>
      <c r="AQ23" t="e">
        <f>AND(#REF!,"AAAAAHYMiyo=")</f>
        <v>#REF!</v>
      </c>
      <c r="AR23" t="e">
        <f>AND(#REF!,"AAAAAHYMiys=")</f>
        <v>#REF!</v>
      </c>
      <c r="AS23" t="e">
        <f>AND(#REF!,"AAAAAHYMiyw=")</f>
        <v>#REF!</v>
      </c>
      <c r="AT23" t="e">
        <f>AND(#REF!,"AAAAAHYMiy0=")</f>
        <v>#REF!</v>
      </c>
      <c r="AU23" t="e">
        <f>AND(#REF!,"AAAAAHYMiy4=")</f>
        <v>#REF!</v>
      </c>
      <c r="AV23" t="e">
        <f>AND(#REF!,"AAAAAHYMiy8=")</f>
        <v>#REF!</v>
      </c>
      <c r="AW23" t="e">
        <f>AND(#REF!,"AAAAAHYMizA=")</f>
        <v>#REF!</v>
      </c>
      <c r="AX23" t="e">
        <f>AND(#REF!,"AAAAAHYMizE=")</f>
        <v>#REF!</v>
      </c>
      <c r="AY23" t="e">
        <f>AND(#REF!,"AAAAAHYMizI=")</f>
        <v>#REF!</v>
      </c>
      <c r="AZ23" t="e">
        <f>AND(#REF!,"AAAAAHYMizM=")</f>
        <v>#REF!</v>
      </c>
      <c r="BA23" t="e">
        <f>AND(#REF!,"AAAAAHYMizQ=")</f>
        <v>#REF!</v>
      </c>
      <c r="BB23" t="e">
        <f>AND(#REF!,"AAAAAHYMizU=")</f>
        <v>#REF!</v>
      </c>
      <c r="BC23" t="e">
        <f>IF(#REF!,"AAAAAHYMizY=",0)</f>
        <v>#REF!</v>
      </c>
      <c r="BD23" t="e">
        <f>AND(#REF!,"AAAAAHYMizc=")</f>
        <v>#REF!</v>
      </c>
      <c r="BE23" t="e">
        <f>AND(#REF!,"AAAAAHYMizg=")</f>
        <v>#REF!</v>
      </c>
      <c r="BF23" t="e">
        <f>AND(#REF!,"AAAAAHYMizk=")</f>
        <v>#REF!</v>
      </c>
      <c r="BG23" t="e">
        <f>AND(#REF!,"AAAAAHYMizo=")</f>
        <v>#REF!</v>
      </c>
      <c r="BH23" t="e">
        <f>AND(#REF!,"AAAAAHYMizs=")</f>
        <v>#REF!</v>
      </c>
      <c r="BI23" t="e">
        <f>AND(#REF!,"AAAAAHYMizw=")</f>
        <v>#REF!</v>
      </c>
      <c r="BJ23" t="e">
        <f>AND(#REF!,"AAAAAHYMiz0=")</f>
        <v>#REF!</v>
      </c>
      <c r="BK23" t="e">
        <f>AND(#REF!,"AAAAAHYMiz4=")</f>
        <v>#REF!</v>
      </c>
      <c r="BL23" t="e">
        <f>AND(#REF!,"AAAAAHYMiz8=")</f>
        <v>#REF!</v>
      </c>
      <c r="BM23" t="e">
        <f>AND(#REF!,"AAAAAHYMi0A=")</f>
        <v>#REF!</v>
      </c>
      <c r="BN23" t="e">
        <f>AND(#REF!,"AAAAAHYMi0E=")</f>
        <v>#REF!</v>
      </c>
      <c r="BO23" t="e">
        <f>AND(#REF!,"AAAAAHYMi0I=")</f>
        <v>#REF!</v>
      </c>
      <c r="BP23" t="e">
        <f>AND(#REF!,"AAAAAHYMi0M=")</f>
        <v>#REF!</v>
      </c>
      <c r="BQ23" t="e">
        <f>AND(#REF!,"AAAAAHYMi0Q=")</f>
        <v>#REF!</v>
      </c>
      <c r="BR23" t="e">
        <f>AND(#REF!,"AAAAAHYMi0U=")</f>
        <v>#REF!</v>
      </c>
      <c r="BS23" t="e">
        <f>AND(#REF!,"AAAAAHYMi0Y=")</f>
        <v>#REF!</v>
      </c>
      <c r="BT23" t="e">
        <f>AND(#REF!,"AAAAAHYMi0c=")</f>
        <v>#REF!</v>
      </c>
      <c r="BU23" t="e">
        <f>AND(#REF!,"AAAAAHYMi0g=")</f>
        <v>#REF!</v>
      </c>
      <c r="BV23" t="e">
        <f>AND(#REF!,"AAAAAHYMi0k=")</f>
        <v>#REF!</v>
      </c>
      <c r="BW23" t="e">
        <f>AND(#REF!,"AAAAAHYMi0o=")</f>
        <v>#REF!</v>
      </c>
      <c r="BX23" t="e">
        <f>AND(#REF!,"AAAAAHYMi0s=")</f>
        <v>#REF!</v>
      </c>
      <c r="BY23" t="e">
        <f>AND(#REF!,"AAAAAHYMi0w=")</f>
        <v>#REF!</v>
      </c>
      <c r="BZ23" t="e">
        <f>AND(#REF!,"AAAAAHYMi00=")</f>
        <v>#REF!</v>
      </c>
      <c r="CA23" t="e">
        <f>IF(#REF!,"AAAAAHYMi04=",0)</f>
        <v>#REF!</v>
      </c>
      <c r="CB23" t="e">
        <f>AND(#REF!,"AAAAAHYMi08=")</f>
        <v>#REF!</v>
      </c>
      <c r="CC23" t="e">
        <f>AND(#REF!,"AAAAAHYMi1A=")</f>
        <v>#REF!</v>
      </c>
      <c r="CD23" t="e">
        <f>AND(#REF!,"AAAAAHYMi1E=")</f>
        <v>#REF!</v>
      </c>
      <c r="CE23" t="e">
        <f>AND(#REF!,"AAAAAHYMi1I=")</f>
        <v>#REF!</v>
      </c>
      <c r="CF23" t="e">
        <f>AND(#REF!,"AAAAAHYMi1M=")</f>
        <v>#REF!</v>
      </c>
      <c r="CG23" t="e">
        <f>AND(#REF!,"AAAAAHYMi1Q=")</f>
        <v>#REF!</v>
      </c>
      <c r="CH23" t="e">
        <f>AND(#REF!,"AAAAAHYMi1U=")</f>
        <v>#REF!</v>
      </c>
      <c r="CI23" t="e">
        <f>AND(#REF!,"AAAAAHYMi1Y=")</f>
        <v>#REF!</v>
      </c>
      <c r="CJ23" t="e">
        <f>AND(#REF!,"AAAAAHYMi1c=")</f>
        <v>#REF!</v>
      </c>
      <c r="CK23" t="e">
        <f>AND(#REF!,"AAAAAHYMi1g=")</f>
        <v>#REF!</v>
      </c>
      <c r="CL23" t="e">
        <f>AND(#REF!,"AAAAAHYMi1k=")</f>
        <v>#REF!</v>
      </c>
      <c r="CM23" t="e">
        <f>AND(#REF!,"AAAAAHYMi1o=")</f>
        <v>#REF!</v>
      </c>
      <c r="CN23" t="e">
        <f>AND(#REF!,"AAAAAHYMi1s=")</f>
        <v>#REF!</v>
      </c>
      <c r="CO23" t="e">
        <f>AND(#REF!,"AAAAAHYMi1w=")</f>
        <v>#REF!</v>
      </c>
      <c r="CP23" t="e">
        <f>AND(#REF!,"AAAAAHYMi10=")</f>
        <v>#REF!</v>
      </c>
      <c r="CQ23" t="e">
        <f>AND(#REF!,"AAAAAHYMi14=")</f>
        <v>#REF!</v>
      </c>
      <c r="CR23" t="e">
        <f>AND(#REF!,"AAAAAHYMi18=")</f>
        <v>#REF!</v>
      </c>
      <c r="CS23" t="e">
        <f>AND(#REF!,"AAAAAHYMi2A=")</f>
        <v>#REF!</v>
      </c>
      <c r="CT23" t="e">
        <f>AND(#REF!,"AAAAAHYMi2E=")</f>
        <v>#REF!</v>
      </c>
      <c r="CU23" t="e">
        <f>AND(#REF!,"AAAAAHYMi2I=")</f>
        <v>#REF!</v>
      </c>
      <c r="CV23" t="e">
        <f>AND(#REF!,"AAAAAHYMi2M=")</f>
        <v>#REF!</v>
      </c>
      <c r="CW23" t="e">
        <f>AND(#REF!,"AAAAAHYMi2Q=")</f>
        <v>#REF!</v>
      </c>
      <c r="CX23" t="e">
        <f>AND(#REF!,"AAAAAHYMi2U=")</f>
        <v>#REF!</v>
      </c>
      <c r="CY23" t="e">
        <f>IF(#REF!,"AAAAAHYMi2Y=",0)</f>
        <v>#REF!</v>
      </c>
      <c r="CZ23" t="e">
        <f>AND(#REF!,"AAAAAHYMi2c=")</f>
        <v>#REF!</v>
      </c>
      <c r="DA23" t="e">
        <f>AND(#REF!,"AAAAAHYMi2g=")</f>
        <v>#REF!</v>
      </c>
      <c r="DB23" t="e">
        <f>AND(#REF!,"AAAAAHYMi2k=")</f>
        <v>#REF!</v>
      </c>
      <c r="DC23" t="e">
        <f>AND(#REF!,"AAAAAHYMi2o=")</f>
        <v>#REF!</v>
      </c>
      <c r="DD23" t="e">
        <f>AND(#REF!,"AAAAAHYMi2s=")</f>
        <v>#REF!</v>
      </c>
      <c r="DE23" t="e">
        <f>AND(#REF!,"AAAAAHYMi2w=")</f>
        <v>#REF!</v>
      </c>
      <c r="DF23" t="e">
        <f>AND(#REF!,"AAAAAHYMi20=")</f>
        <v>#REF!</v>
      </c>
      <c r="DG23" t="e">
        <f>AND(#REF!,"AAAAAHYMi24=")</f>
        <v>#REF!</v>
      </c>
      <c r="DH23" t="e">
        <f>AND(#REF!,"AAAAAHYMi28=")</f>
        <v>#REF!</v>
      </c>
      <c r="DI23" t="e">
        <f>AND(#REF!,"AAAAAHYMi3A=")</f>
        <v>#REF!</v>
      </c>
      <c r="DJ23" t="e">
        <f>AND(#REF!,"AAAAAHYMi3E=")</f>
        <v>#REF!</v>
      </c>
      <c r="DK23" t="e">
        <f>AND(#REF!,"AAAAAHYMi3I=")</f>
        <v>#REF!</v>
      </c>
      <c r="DL23" t="e">
        <f>AND(#REF!,"AAAAAHYMi3M=")</f>
        <v>#REF!</v>
      </c>
      <c r="DM23" t="e">
        <f>AND(#REF!,"AAAAAHYMi3Q=")</f>
        <v>#REF!</v>
      </c>
      <c r="DN23" t="e">
        <f>AND(#REF!,"AAAAAHYMi3U=")</f>
        <v>#REF!</v>
      </c>
      <c r="DO23" t="e">
        <f>AND(#REF!,"AAAAAHYMi3Y=")</f>
        <v>#REF!</v>
      </c>
      <c r="DP23" t="e">
        <f>AND(#REF!,"AAAAAHYMi3c=")</f>
        <v>#REF!</v>
      </c>
      <c r="DQ23" t="e">
        <f>AND(#REF!,"AAAAAHYMi3g=")</f>
        <v>#REF!</v>
      </c>
      <c r="DR23" t="e">
        <f>AND(#REF!,"AAAAAHYMi3k=")</f>
        <v>#REF!</v>
      </c>
      <c r="DS23" t="e">
        <f>AND(#REF!,"AAAAAHYMi3o=")</f>
        <v>#REF!</v>
      </c>
      <c r="DT23" t="e">
        <f>AND(#REF!,"AAAAAHYMi3s=")</f>
        <v>#REF!</v>
      </c>
      <c r="DU23" t="e">
        <f>AND(#REF!,"AAAAAHYMi3w=")</f>
        <v>#REF!</v>
      </c>
      <c r="DV23" t="e">
        <f>AND(#REF!,"AAAAAHYMi30=")</f>
        <v>#REF!</v>
      </c>
      <c r="DW23" t="e">
        <f>IF(#REF!,"AAAAAHYMi34=",0)</f>
        <v>#REF!</v>
      </c>
      <c r="DX23" t="e">
        <f>AND(#REF!,"AAAAAHYMi38=")</f>
        <v>#REF!</v>
      </c>
      <c r="DY23" t="e">
        <f>AND(#REF!,"AAAAAHYMi4A=")</f>
        <v>#REF!</v>
      </c>
      <c r="DZ23" t="e">
        <f>AND(#REF!,"AAAAAHYMi4E=")</f>
        <v>#REF!</v>
      </c>
      <c r="EA23" t="e">
        <f>AND(#REF!,"AAAAAHYMi4I=")</f>
        <v>#REF!</v>
      </c>
      <c r="EB23" t="e">
        <f>AND(#REF!,"AAAAAHYMi4M=")</f>
        <v>#REF!</v>
      </c>
      <c r="EC23" t="e">
        <f>AND(#REF!,"AAAAAHYMi4Q=")</f>
        <v>#REF!</v>
      </c>
      <c r="ED23" t="e">
        <f>AND(#REF!,"AAAAAHYMi4U=")</f>
        <v>#REF!</v>
      </c>
      <c r="EE23" t="e">
        <f>AND(#REF!,"AAAAAHYMi4Y=")</f>
        <v>#REF!</v>
      </c>
      <c r="EF23" t="e">
        <f>AND(#REF!,"AAAAAHYMi4c=")</f>
        <v>#REF!</v>
      </c>
      <c r="EG23" t="e">
        <f>AND(#REF!,"AAAAAHYMi4g=")</f>
        <v>#REF!</v>
      </c>
      <c r="EH23" t="e">
        <f>AND(#REF!,"AAAAAHYMi4k=")</f>
        <v>#REF!</v>
      </c>
      <c r="EI23" t="e">
        <f>AND(#REF!,"AAAAAHYMi4o=")</f>
        <v>#REF!</v>
      </c>
      <c r="EJ23" t="e">
        <f>AND(#REF!,"AAAAAHYMi4s=")</f>
        <v>#REF!</v>
      </c>
      <c r="EK23" t="e">
        <f>AND(#REF!,"AAAAAHYMi4w=")</f>
        <v>#REF!</v>
      </c>
      <c r="EL23" t="e">
        <f>AND(#REF!,"AAAAAHYMi40=")</f>
        <v>#REF!</v>
      </c>
      <c r="EM23" t="e">
        <f>AND(#REF!,"AAAAAHYMi44=")</f>
        <v>#REF!</v>
      </c>
      <c r="EN23" t="e">
        <f>AND(#REF!,"AAAAAHYMi48=")</f>
        <v>#REF!</v>
      </c>
      <c r="EO23" t="e">
        <f>AND(#REF!,"AAAAAHYMi5A=")</f>
        <v>#REF!</v>
      </c>
      <c r="EP23" t="e">
        <f>AND(#REF!,"AAAAAHYMi5E=")</f>
        <v>#REF!</v>
      </c>
      <c r="EQ23" t="e">
        <f>AND(#REF!,"AAAAAHYMi5I=")</f>
        <v>#REF!</v>
      </c>
      <c r="ER23" t="e">
        <f>AND(#REF!,"AAAAAHYMi5M=")</f>
        <v>#REF!</v>
      </c>
      <c r="ES23" t="e">
        <f>AND(#REF!,"AAAAAHYMi5Q=")</f>
        <v>#REF!</v>
      </c>
      <c r="ET23" t="e">
        <f>AND(#REF!,"AAAAAHYMi5U=")</f>
        <v>#REF!</v>
      </c>
      <c r="EU23" t="e">
        <f>IF(#REF!,"AAAAAHYMi5Y=",0)</f>
        <v>#REF!</v>
      </c>
      <c r="EV23" t="e">
        <f>AND(#REF!,"AAAAAHYMi5c=")</f>
        <v>#REF!</v>
      </c>
      <c r="EW23" t="e">
        <f>AND(#REF!,"AAAAAHYMi5g=")</f>
        <v>#REF!</v>
      </c>
      <c r="EX23" t="e">
        <f>AND(#REF!,"AAAAAHYMi5k=")</f>
        <v>#REF!</v>
      </c>
      <c r="EY23" t="e">
        <f>AND(#REF!,"AAAAAHYMi5o=")</f>
        <v>#REF!</v>
      </c>
      <c r="EZ23" t="e">
        <f>AND(#REF!,"AAAAAHYMi5s=")</f>
        <v>#REF!</v>
      </c>
      <c r="FA23" t="e">
        <f>AND(#REF!,"AAAAAHYMi5w=")</f>
        <v>#REF!</v>
      </c>
      <c r="FB23" t="e">
        <f>AND(#REF!,"AAAAAHYMi50=")</f>
        <v>#REF!</v>
      </c>
      <c r="FC23" t="e">
        <f>AND(#REF!,"AAAAAHYMi54=")</f>
        <v>#REF!</v>
      </c>
      <c r="FD23" t="e">
        <f>AND(#REF!,"AAAAAHYMi58=")</f>
        <v>#REF!</v>
      </c>
      <c r="FE23" t="e">
        <f>AND(#REF!,"AAAAAHYMi6A=")</f>
        <v>#REF!</v>
      </c>
      <c r="FF23" t="e">
        <f>AND(#REF!,"AAAAAHYMi6E=")</f>
        <v>#REF!</v>
      </c>
      <c r="FG23" t="e">
        <f>AND(#REF!,"AAAAAHYMi6I=")</f>
        <v>#REF!</v>
      </c>
      <c r="FH23" t="e">
        <f>AND(#REF!,"AAAAAHYMi6M=")</f>
        <v>#REF!</v>
      </c>
      <c r="FI23" t="e">
        <f>AND(#REF!,"AAAAAHYMi6Q=")</f>
        <v>#REF!</v>
      </c>
      <c r="FJ23" t="e">
        <f>AND(#REF!,"AAAAAHYMi6U=")</f>
        <v>#REF!</v>
      </c>
      <c r="FK23" t="e">
        <f>AND(#REF!,"AAAAAHYMi6Y=")</f>
        <v>#REF!</v>
      </c>
      <c r="FL23" t="e">
        <f>AND(#REF!,"AAAAAHYMi6c=")</f>
        <v>#REF!</v>
      </c>
      <c r="FM23" t="e">
        <f>AND(#REF!,"AAAAAHYMi6g=")</f>
        <v>#REF!</v>
      </c>
      <c r="FN23" t="e">
        <f>AND(#REF!,"AAAAAHYMi6k=")</f>
        <v>#REF!</v>
      </c>
      <c r="FO23" t="e">
        <f>AND(#REF!,"AAAAAHYMi6o=")</f>
        <v>#REF!</v>
      </c>
      <c r="FP23" t="e">
        <f>AND(#REF!,"AAAAAHYMi6s=")</f>
        <v>#REF!</v>
      </c>
      <c r="FQ23" t="e">
        <f>AND(#REF!,"AAAAAHYMi6w=")</f>
        <v>#REF!</v>
      </c>
      <c r="FR23" t="e">
        <f>AND(#REF!,"AAAAAHYMi60=")</f>
        <v>#REF!</v>
      </c>
      <c r="FS23" t="e">
        <f>IF(#REF!,"AAAAAHYMi64=",0)</f>
        <v>#REF!</v>
      </c>
      <c r="FT23" t="e">
        <f>AND(#REF!,"AAAAAHYMi68=")</f>
        <v>#REF!</v>
      </c>
      <c r="FU23" t="e">
        <f>AND(#REF!,"AAAAAHYMi7A=")</f>
        <v>#REF!</v>
      </c>
      <c r="FV23" t="e">
        <f>AND(#REF!,"AAAAAHYMi7E=")</f>
        <v>#REF!</v>
      </c>
      <c r="FW23" t="e">
        <f>AND(#REF!,"AAAAAHYMi7I=")</f>
        <v>#REF!</v>
      </c>
      <c r="FX23" t="e">
        <f>AND(#REF!,"AAAAAHYMi7M=")</f>
        <v>#REF!</v>
      </c>
      <c r="FY23" t="e">
        <f>AND(#REF!,"AAAAAHYMi7Q=")</f>
        <v>#REF!</v>
      </c>
      <c r="FZ23" t="e">
        <f>AND(#REF!,"AAAAAHYMi7U=")</f>
        <v>#REF!</v>
      </c>
      <c r="GA23" t="e">
        <f>AND(#REF!,"AAAAAHYMi7Y=")</f>
        <v>#REF!</v>
      </c>
      <c r="GB23" t="e">
        <f>AND(#REF!,"AAAAAHYMi7c=")</f>
        <v>#REF!</v>
      </c>
      <c r="GC23" t="e">
        <f>AND(#REF!,"AAAAAHYMi7g=")</f>
        <v>#REF!</v>
      </c>
      <c r="GD23" t="e">
        <f>AND(#REF!,"AAAAAHYMi7k=")</f>
        <v>#REF!</v>
      </c>
      <c r="GE23" t="e">
        <f>AND(#REF!,"AAAAAHYMi7o=")</f>
        <v>#REF!</v>
      </c>
      <c r="GF23" t="e">
        <f>AND(#REF!,"AAAAAHYMi7s=")</f>
        <v>#REF!</v>
      </c>
      <c r="GG23" t="e">
        <f>AND(#REF!,"AAAAAHYMi7w=")</f>
        <v>#REF!</v>
      </c>
      <c r="GH23" t="e">
        <f>AND(#REF!,"AAAAAHYMi70=")</f>
        <v>#REF!</v>
      </c>
      <c r="GI23" t="e">
        <f>AND(#REF!,"AAAAAHYMi74=")</f>
        <v>#REF!</v>
      </c>
      <c r="GJ23" t="e">
        <f>AND(#REF!,"AAAAAHYMi78=")</f>
        <v>#REF!</v>
      </c>
      <c r="GK23" t="e">
        <f>AND(#REF!,"AAAAAHYMi8A=")</f>
        <v>#REF!</v>
      </c>
      <c r="GL23" t="e">
        <f>AND(#REF!,"AAAAAHYMi8E=")</f>
        <v>#REF!</v>
      </c>
      <c r="GM23" t="e">
        <f>AND(#REF!,"AAAAAHYMi8I=")</f>
        <v>#REF!</v>
      </c>
      <c r="GN23" t="e">
        <f>AND(#REF!,"AAAAAHYMi8M=")</f>
        <v>#REF!</v>
      </c>
      <c r="GO23" t="e">
        <f>AND(#REF!,"AAAAAHYMi8Q=")</f>
        <v>#REF!</v>
      </c>
      <c r="GP23" t="e">
        <f>AND(#REF!,"AAAAAHYMi8U=")</f>
        <v>#REF!</v>
      </c>
      <c r="GQ23" t="e">
        <f>IF(#REF!,"AAAAAHYMi8Y=",0)</f>
        <v>#REF!</v>
      </c>
      <c r="GR23" t="e">
        <f>AND(#REF!,"AAAAAHYMi8c=")</f>
        <v>#REF!</v>
      </c>
      <c r="GS23" t="e">
        <f>AND(#REF!,"AAAAAHYMi8g=")</f>
        <v>#REF!</v>
      </c>
      <c r="GT23" t="e">
        <f>AND(#REF!,"AAAAAHYMi8k=")</f>
        <v>#REF!</v>
      </c>
      <c r="GU23" t="e">
        <f>AND(#REF!,"AAAAAHYMi8o=")</f>
        <v>#REF!</v>
      </c>
      <c r="GV23" t="e">
        <f>AND(#REF!,"AAAAAHYMi8s=")</f>
        <v>#REF!</v>
      </c>
      <c r="GW23" t="e">
        <f>AND(#REF!,"AAAAAHYMi8w=")</f>
        <v>#REF!</v>
      </c>
      <c r="GX23" t="e">
        <f>AND(#REF!,"AAAAAHYMi80=")</f>
        <v>#REF!</v>
      </c>
      <c r="GY23" t="e">
        <f>AND(#REF!,"AAAAAHYMi84=")</f>
        <v>#REF!</v>
      </c>
      <c r="GZ23" t="e">
        <f>AND(#REF!,"AAAAAHYMi88=")</f>
        <v>#REF!</v>
      </c>
      <c r="HA23" t="e">
        <f>AND(#REF!,"AAAAAHYMi9A=")</f>
        <v>#REF!</v>
      </c>
      <c r="HB23" t="e">
        <f>AND(#REF!,"AAAAAHYMi9E=")</f>
        <v>#REF!</v>
      </c>
      <c r="HC23" t="e">
        <f>AND(#REF!,"AAAAAHYMi9I=")</f>
        <v>#REF!</v>
      </c>
      <c r="HD23" t="e">
        <f>AND(#REF!,"AAAAAHYMi9M=")</f>
        <v>#REF!</v>
      </c>
      <c r="HE23" t="e">
        <f>AND(#REF!,"AAAAAHYMi9Q=")</f>
        <v>#REF!</v>
      </c>
      <c r="HF23" t="e">
        <f>AND(#REF!,"AAAAAHYMi9U=")</f>
        <v>#REF!</v>
      </c>
      <c r="HG23" t="e">
        <f>AND(#REF!,"AAAAAHYMi9Y=")</f>
        <v>#REF!</v>
      </c>
      <c r="HH23" t="e">
        <f>AND(#REF!,"AAAAAHYMi9c=")</f>
        <v>#REF!</v>
      </c>
      <c r="HI23" t="e">
        <f>AND(#REF!,"AAAAAHYMi9g=")</f>
        <v>#REF!</v>
      </c>
      <c r="HJ23" t="e">
        <f>AND(#REF!,"AAAAAHYMi9k=")</f>
        <v>#REF!</v>
      </c>
      <c r="HK23" t="e">
        <f>AND(#REF!,"AAAAAHYMi9o=")</f>
        <v>#REF!</v>
      </c>
      <c r="HL23" t="e">
        <f>AND(#REF!,"AAAAAHYMi9s=")</f>
        <v>#REF!</v>
      </c>
      <c r="HM23" t="e">
        <f>AND(#REF!,"AAAAAHYMi9w=")</f>
        <v>#REF!</v>
      </c>
      <c r="HN23" t="e">
        <f>AND(#REF!,"AAAAAHYMi90=")</f>
        <v>#REF!</v>
      </c>
      <c r="HO23" t="e">
        <f>IF(#REF!,"AAAAAHYMi94=",0)</f>
        <v>#REF!</v>
      </c>
      <c r="HP23" t="e">
        <f>AND(#REF!,"AAAAAHYMi98=")</f>
        <v>#REF!</v>
      </c>
      <c r="HQ23" t="e">
        <f>AND(#REF!,"AAAAAHYMi+A=")</f>
        <v>#REF!</v>
      </c>
      <c r="HR23" t="e">
        <f>AND(#REF!,"AAAAAHYMi+E=")</f>
        <v>#REF!</v>
      </c>
      <c r="HS23" t="e">
        <f>AND(#REF!,"AAAAAHYMi+I=")</f>
        <v>#REF!</v>
      </c>
      <c r="HT23" t="e">
        <f>AND(#REF!,"AAAAAHYMi+M=")</f>
        <v>#REF!</v>
      </c>
      <c r="HU23" t="e">
        <f>AND(#REF!,"AAAAAHYMi+Q=")</f>
        <v>#REF!</v>
      </c>
      <c r="HV23" t="e">
        <f>AND(#REF!,"AAAAAHYMi+U=")</f>
        <v>#REF!</v>
      </c>
      <c r="HW23" t="e">
        <f>AND(#REF!,"AAAAAHYMi+Y=")</f>
        <v>#REF!</v>
      </c>
      <c r="HX23" t="e">
        <f>AND(#REF!,"AAAAAHYMi+c=")</f>
        <v>#REF!</v>
      </c>
      <c r="HY23" t="e">
        <f>AND(#REF!,"AAAAAHYMi+g=")</f>
        <v>#REF!</v>
      </c>
      <c r="HZ23" t="e">
        <f>AND(#REF!,"AAAAAHYMi+k=")</f>
        <v>#REF!</v>
      </c>
      <c r="IA23" t="e">
        <f>AND(#REF!,"AAAAAHYMi+o=")</f>
        <v>#REF!</v>
      </c>
      <c r="IB23" t="e">
        <f>AND(#REF!,"AAAAAHYMi+s=")</f>
        <v>#REF!</v>
      </c>
      <c r="IC23" t="e">
        <f>AND(#REF!,"AAAAAHYMi+w=")</f>
        <v>#REF!</v>
      </c>
      <c r="ID23" t="e">
        <f>AND(#REF!,"AAAAAHYMi+0=")</f>
        <v>#REF!</v>
      </c>
      <c r="IE23" t="e">
        <f>AND(#REF!,"AAAAAHYMi+4=")</f>
        <v>#REF!</v>
      </c>
      <c r="IF23" t="e">
        <f>AND(#REF!,"AAAAAHYMi+8=")</f>
        <v>#REF!</v>
      </c>
      <c r="IG23" t="e">
        <f>AND(#REF!,"AAAAAHYMi/A=")</f>
        <v>#REF!</v>
      </c>
      <c r="IH23" t="e">
        <f>AND(#REF!,"AAAAAHYMi/E=")</f>
        <v>#REF!</v>
      </c>
      <c r="II23" t="e">
        <f>AND(#REF!,"AAAAAHYMi/I=")</f>
        <v>#REF!</v>
      </c>
      <c r="IJ23" t="e">
        <f>AND(#REF!,"AAAAAHYMi/M=")</f>
        <v>#REF!</v>
      </c>
      <c r="IK23" t="e">
        <f>AND(#REF!,"AAAAAHYMi/Q=")</f>
        <v>#REF!</v>
      </c>
      <c r="IL23" t="e">
        <f>AND(#REF!,"AAAAAHYMi/U=")</f>
        <v>#REF!</v>
      </c>
      <c r="IM23" t="e">
        <f>IF(#REF!,"AAAAAHYMi/Y=",0)</f>
        <v>#REF!</v>
      </c>
      <c r="IN23" t="e">
        <f>AND(#REF!,"AAAAAHYMi/c=")</f>
        <v>#REF!</v>
      </c>
      <c r="IO23" t="e">
        <f>AND(#REF!,"AAAAAHYMi/g=")</f>
        <v>#REF!</v>
      </c>
      <c r="IP23" t="e">
        <f>AND(#REF!,"AAAAAHYMi/k=")</f>
        <v>#REF!</v>
      </c>
      <c r="IQ23" t="e">
        <f>AND(#REF!,"AAAAAHYMi/o=")</f>
        <v>#REF!</v>
      </c>
      <c r="IR23" t="e">
        <f>AND(#REF!,"AAAAAHYMi/s=")</f>
        <v>#REF!</v>
      </c>
      <c r="IS23" t="e">
        <f>AND(#REF!,"AAAAAHYMi/w=")</f>
        <v>#REF!</v>
      </c>
      <c r="IT23" t="e">
        <f>AND(#REF!,"AAAAAHYMi/0=")</f>
        <v>#REF!</v>
      </c>
      <c r="IU23" t="e">
        <f>AND(#REF!,"AAAAAHYMi/4=")</f>
        <v>#REF!</v>
      </c>
      <c r="IV23" t="e">
        <f>AND(#REF!,"AAAAAHYMi/8=")</f>
        <v>#REF!</v>
      </c>
    </row>
    <row r="24" spans="1:256" x14ac:dyDescent="0.25">
      <c r="A24" t="e">
        <f>AND(#REF!,"AAAAAF/X7wA=")</f>
        <v>#REF!</v>
      </c>
      <c r="B24" t="e">
        <f>AND(#REF!,"AAAAAF/X7wE=")</f>
        <v>#REF!</v>
      </c>
      <c r="C24" t="e">
        <f>AND(#REF!,"AAAAAF/X7wI=")</f>
        <v>#REF!</v>
      </c>
      <c r="D24" t="e">
        <f>AND(#REF!,"AAAAAF/X7wM=")</f>
        <v>#REF!</v>
      </c>
      <c r="E24" t="e">
        <f>AND(#REF!,"AAAAAF/X7wQ=")</f>
        <v>#REF!</v>
      </c>
      <c r="F24" t="e">
        <f>AND(#REF!,"AAAAAF/X7wU=")</f>
        <v>#REF!</v>
      </c>
      <c r="G24" t="e">
        <f>AND(#REF!,"AAAAAF/X7wY=")</f>
        <v>#REF!</v>
      </c>
      <c r="H24" t="e">
        <f>AND(#REF!,"AAAAAF/X7wc=")</f>
        <v>#REF!</v>
      </c>
      <c r="I24" t="e">
        <f>AND(#REF!,"AAAAAF/X7wg=")</f>
        <v>#REF!</v>
      </c>
      <c r="J24" t="e">
        <f>AND(#REF!,"AAAAAF/X7wk=")</f>
        <v>#REF!</v>
      </c>
      <c r="K24" t="e">
        <f>AND(#REF!,"AAAAAF/X7wo=")</f>
        <v>#REF!</v>
      </c>
      <c r="L24" t="e">
        <f>AND(#REF!,"AAAAAF/X7ws=")</f>
        <v>#REF!</v>
      </c>
      <c r="M24" t="e">
        <f>AND(#REF!,"AAAAAF/X7ww=")</f>
        <v>#REF!</v>
      </c>
      <c r="N24" t="e">
        <f>AND(#REF!,"AAAAAF/X7w0=")</f>
        <v>#REF!</v>
      </c>
      <c r="O24" t="e">
        <f>IF(#REF!,"AAAAAF/X7w4=",0)</f>
        <v>#REF!</v>
      </c>
      <c r="P24" t="e">
        <f>AND(#REF!,"AAAAAF/X7w8=")</f>
        <v>#REF!</v>
      </c>
      <c r="Q24" t="e">
        <f>AND(#REF!,"AAAAAF/X7xA=")</f>
        <v>#REF!</v>
      </c>
      <c r="R24" t="e">
        <f>AND(#REF!,"AAAAAF/X7xE=")</f>
        <v>#REF!</v>
      </c>
      <c r="S24" t="e">
        <f>AND(#REF!,"AAAAAF/X7xI=")</f>
        <v>#REF!</v>
      </c>
      <c r="T24" t="e">
        <f>AND(#REF!,"AAAAAF/X7xM=")</f>
        <v>#REF!</v>
      </c>
      <c r="U24" t="e">
        <f>AND(#REF!,"AAAAAF/X7xQ=")</f>
        <v>#REF!</v>
      </c>
      <c r="V24" t="e">
        <f>AND(#REF!,"AAAAAF/X7xU=")</f>
        <v>#REF!</v>
      </c>
      <c r="W24" t="e">
        <f>AND(#REF!,"AAAAAF/X7xY=")</f>
        <v>#REF!</v>
      </c>
      <c r="X24" t="e">
        <f>AND(#REF!,"AAAAAF/X7xc=")</f>
        <v>#REF!</v>
      </c>
      <c r="Y24" t="e">
        <f>AND(#REF!,"AAAAAF/X7xg=")</f>
        <v>#REF!</v>
      </c>
      <c r="Z24" t="e">
        <f>AND(#REF!,"AAAAAF/X7xk=")</f>
        <v>#REF!</v>
      </c>
      <c r="AA24" t="e">
        <f>AND(#REF!,"AAAAAF/X7xo=")</f>
        <v>#REF!</v>
      </c>
      <c r="AB24" t="e">
        <f>AND(#REF!,"AAAAAF/X7xs=")</f>
        <v>#REF!</v>
      </c>
      <c r="AC24" t="e">
        <f>AND(#REF!,"AAAAAF/X7xw=")</f>
        <v>#REF!</v>
      </c>
      <c r="AD24" t="e">
        <f>AND(#REF!,"AAAAAF/X7x0=")</f>
        <v>#REF!</v>
      </c>
      <c r="AE24" t="e">
        <f>AND(#REF!,"AAAAAF/X7x4=")</f>
        <v>#REF!</v>
      </c>
      <c r="AF24" t="e">
        <f>AND(#REF!,"AAAAAF/X7x8=")</f>
        <v>#REF!</v>
      </c>
      <c r="AG24" t="e">
        <f>AND(#REF!,"AAAAAF/X7yA=")</f>
        <v>#REF!</v>
      </c>
      <c r="AH24" t="e">
        <f>AND(#REF!,"AAAAAF/X7yE=")</f>
        <v>#REF!</v>
      </c>
      <c r="AI24" t="e">
        <f>AND(#REF!,"AAAAAF/X7yI=")</f>
        <v>#REF!</v>
      </c>
      <c r="AJ24" t="e">
        <f>AND(#REF!,"AAAAAF/X7yM=")</f>
        <v>#REF!</v>
      </c>
      <c r="AK24" t="e">
        <f>AND(#REF!,"AAAAAF/X7yQ=")</f>
        <v>#REF!</v>
      </c>
      <c r="AL24" t="e">
        <f>AND(#REF!,"AAAAAF/X7yU=")</f>
        <v>#REF!</v>
      </c>
      <c r="AM24" t="e">
        <f>IF(#REF!,"AAAAAF/X7yY=",0)</f>
        <v>#REF!</v>
      </c>
      <c r="AN24" t="e">
        <f>AND(#REF!,"AAAAAF/X7yc=")</f>
        <v>#REF!</v>
      </c>
      <c r="AO24" t="e">
        <f>AND(#REF!,"AAAAAF/X7yg=")</f>
        <v>#REF!</v>
      </c>
      <c r="AP24" t="e">
        <f>AND(#REF!,"AAAAAF/X7yk=")</f>
        <v>#REF!</v>
      </c>
      <c r="AQ24" t="e">
        <f>AND(#REF!,"AAAAAF/X7yo=")</f>
        <v>#REF!</v>
      </c>
      <c r="AR24" t="e">
        <f>AND(#REF!,"AAAAAF/X7ys=")</f>
        <v>#REF!</v>
      </c>
      <c r="AS24" t="e">
        <f>AND(#REF!,"AAAAAF/X7yw=")</f>
        <v>#REF!</v>
      </c>
      <c r="AT24" t="e">
        <f>AND(#REF!,"AAAAAF/X7y0=")</f>
        <v>#REF!</v>
      </c>
      <c r="AU24" t="e">
        <f>AND(#REF!,"AAAAAF/X7y4=")</f>
        <v>#REF!</v>
      </c>
      <c r="AV24" t="e">
        <f>AND(#REF!,"AAAAAF/X7y8=")</f>
        <v>#REF!</v>
      </c>
      <c r="AW24" t="e">
        <f>AND(#REF!,"AAAAAF/X7zA=")</f>
        <v>#REF!</v>
      </c>
      <c r="AX24" t="e">
        <f>AND(#REF!,"AAAAAF/X7zE=")</f>
        <v>#REF!</v>
      </c>
      <c r="AY24" t="e">
        <f>AND(#REF!,"AAAAAF/X7zI=")</f>
        <v>#REF!</v>
      </c>
      <c r="AZ24" t="e">
        <f>AND(#REF!,"AAAAAF/X7zM=")</f>
        <v>#REF!</v>
      </c>
      <c r="BA24" t="e">
        <f>AND(#REF!,"AAAAAF/X7zQ=")</f>
        <v>#REF!</v>
      </c>
      <c r="BB24" t="e">
        <f>AND(#REF!,"AAAAAF/X7zU=")</f>
        <v>#REF!</v>
      </c>
      <c r="BC24" t="e">
        <f>AND(#REF!,"AAAAAF/X7zY=")</f>
        <v>#REF!</v>
      </c>
      <c r="BD24" t="e">
        <f>AND(#REF!,"AAAAAF/X7zc=")</f>
        <v>#REF!</v>
      </c>
      <c r="BE24" t="e">
        <f>AND(#REF!,"AAAAAF/X7zg=")</f>
        <v>#REF!</v>
      </c>
      <c r="BF24" t="e">
        <f>AND(#REF!,"AAAAAF/X7zk=")</f>
        <v>#REF!</v>
      </c>
      <c r="BG24" t="e">
        <f>AND(#REF!,"AAAAAF/X7zo=")</f>
        <v>#REF!</v>
      </c>
      <c r="BH24" t="e">
        <f>AND(#REF!,"AAAAAF/X7zs=")</f>
        <v>#REF!</v>
      </c>
      <c r="BI24" t="e">
        <f>AND(#REF!,"AAAAAF/X7zw=")</f>
        <v>#REF!</v>
      </c>
      <c r="BJ24" t="e">
        <f>AND(#REF!,"AAAAAF/X7z0=")</f>
        <v>#REF!</v>
      </c>
      <c r="BK24" t="e">
        <f>IF(#REF!,"AAAAAF/X7z4=",0)</f>
        <v>#REF!</v>
      </c>
      <c r="BL24" t="e">
        <f>AND(#REF!,"AAAAAF/X7z8=")</f>
        <v>#REF!</v>
      </c>
      <c r="BM24" t="e">
        <f>AND(#REF!,"AAAAAF/X70A=")</f>
        <v>#REF!</v>
      </c>
      <c r="BN24" t="e">
        <f>AND(#REF!,"AAAAAF/X70E=")</f>
        <v>#REF!</v>
      </c>
      <c r="BO24" t="e">
        <f>AND(#REF!,"AAAAAF/X70I=")</f>
        <v>#REF!</v>
      </c>
      <c r="BP24" t="e">
        <f>AND(#REF!,"AAAAAF/X70M=")</f>
        <v>#REF!</v>
      </c>
      <c r="BQ24" t="e">
        <f>AND(#REF!,"AAAAAF/X70Q=")</f>
        <v>#REF!</v>
      </c>
      <c r="BR24" t="e">
        <f>AND(#REF!,"AAAAAF/X70U=")</f>
        <v>#REF!</v>
      </c>
      <c r="BS24" t="e">
        <f>AND(#REF!,"AAAAAF/X70Y=")</f>
        <v>#REF!</v>
      </c>
      <c r="BT24" t="e">
        <f>AND(#REF!,"AAAAAF/X70c=")</f>
        <v>#REF!</v>
      </c>
      <c r="BU24" t="e">
        <f>AND(#REF!,"AAAAAF/X70g=")</f>
        <v>#REF!</v>
      </c>
      <c r="BV24" t="e">
        <f>AND(#REF!,"AAAAAF/X70k=")</f>
        <v>#REF!</v>
      </c>
      <c r="BW24" t="e">
        <f>AND(#REF!,"AAAAAF/X70o=")</f>
        <v>#REF!</v>
      </c>
      <c r="BX24" t="e">
        <f>AND(#REF!,"AAAAAF/X70s=")</f>
        <v>#REF!</v>
      </c>
      <c r="BY24" t="e">
        <f>AND(#REF!,"AAAAAF/X70w=")</f>
        <v>#REF!</v>
      </c>
      <c r="BZ24" t="e">
        <f>AND(#REF!,"AAAAAF/X700=")</f>
        <v>#REF!</v>
      </c>
      <c r="CA24" t="e">
        <f>AND(#REF!,"AAAAAF/X704=")</f>
        <v>#REF!</v>
      </c>
      <c r="CB24" t="e">
        <f>AND(#REF!,"AAAAAF/X708=")</f>
        <v>#REF!</v>
      </c>
      <c r="CC24" t="e">
        <f>AND(#REF!,"AAAAAF/X71A=")</f>
        <v>#REF!</v>
      </c>
      <c r="CD24" t="e">
        <f>AND(#REF!,"AAAAAF/X71E=")</f>
        <v>#REF!</v>
      </c>
      <c r="CE24" t="e">
        <f>AND(#REF!,"AAAAAF/X71I=")</f>
        <v>#REF!</v>
      </c>
      <c r="CF24" t="e">
        <f>AND(#REF!,"AAAAAF/X71M=")</f>
        <v>#REF!</v>
      </c>
      <c r="CG24" t="e">
        <f>AND(#REF!,"AAAAAF/X71Q=")</f>
        <v>#REF!</v>
      </c>
      <c r="CH24" t="e">
        <f>AND(#REF!,"AAAAAF/X71U=")</f>
        <v>#REF!</v>
      </c>
      <c r="CI24" t="e">
        <f>IF(#REF!,"AAAAAF/X71Y=",0)</f>
        <v>#REF!</v>
      </c>
      <c r="CJ24" t="e">
        <f>AND(#REF!,"AAAAAF/X71c=")</f>
        <v>#REF!</v>
      </c>
      <c r="CK24" t="e">
        <f>AND(#REF!,"AAAAAF/X71g=")</f>
        <v>#REF!</v>
      </c>
      <c r="CL24" t="e">
        <f>AND(#REF!,"AAAAAF/X71k=")</f>
        <v>#REF!</v>
      </c>
      <c r="CM24" t="e">
        <f>AND(#REF!,"AAAAAF/X71o=")</f>
        <v>#REF!</v>
      </c>
      <c r="CN24" t="e">
        <f>AND(#REF!,"AAAAAF/X71s=")</f>
        <v>#REF!</v>
      </c>
      <c r="CO24" t="e">
        <f>AND(#REF!,"AAAAAF/X71w=")</f>
        <v>#REF!</v>
      </c>
      <c r="CP24" t="e">
        <f>AND(#REF!,"AAAAAF/X710=")</f>
        <v>#REF!</v>
      </c>
      <c r="CQ24" t="e">
        <f>AND(#REF!,"AAAAAF/X714=")</f>
        <v>#REF!</v>
      </c>
      <c r="CR24" t="e">
        <f>AND(#REF!,"AAAAAF/X718=")</f>
        <v>#REF!</v>
      </c>
      <c r="CS24" t="e">
        <f>AND(#REF!,"AAAAAF/X72A=")</f>
        <v>#REF!</v>
      </c>
      <c r="CT24" t="e">
        <f>AND(#REF!,"AAAAAF/X72E=")</f>
        <v>#REF!</v>
      </c>
      <c r="CU24" t="e">
        <f>AND(#REF!,"AAAAAF/X72I=")</f>
        <v>#REF!</v>
      </c>
      <c r="CV24" t="e">
        <f>AND(#REF!,"AAAAAF/X72M=")</f>
        <v>#REF!</v>
      </c>
      <c r="CW24" t="e">
        <f>AND(#REF!,"AAAAAF/X72Q=")</f>
        <v>#REF!</v>
      </c>
      <c r="CX24" t="e">
        <f>AND(#REF!,"AAAAAF/X72U=")</f>
        <v>#REF!</v>
      </c>
      <c r="CY24" t="e">
        <f>AND(#REF!,"AAAAAF/X72Y=")</f>
        <v>#REF!</v>
      </c>
      <c r="CZ24" t="e">
        <f>AND(#REF!,"AAAAAF/X72c=")</f>
        <v>#REF!</v>
      </c>
      <c r="DA24" t="e">
        <f>AND(#REF!,"AAAAAF/X72g=")</f>
        <v>#REF!</v>
      </c>
      <c r="DB24" t="e">
        <f>AND(#REF!,"AAAAAF/X72k=")</f>
        <v>#REF!</v>
      </c>
      <c r="DC24" t="e">
        <f>AND(#REF!,"AAAAAF/X72o=")</f>
        <v>#REF!</v>
      </c>
      <c r="DD24" t="e">
        <f>AND(#REF!,"AAAAAF/X72s=")</f>
        <v>#REF!</v>
      </c>
      <c r="DE24" t="e">
        <f>AND(#REF!,"AAAAAF/X72w=")</f>
        <v>#REF!</v>
      </c>
      <c r="DF24" t="e">
        <f>AND(#REF!,"AAAAAF/X720=")</f>
        <v>#REF!</v>
      </c>
      <c r="DG24" t="e">
        <f>IF(#REF!,"AAAAAF/X724=",0)</f>
        <v>#REF!</v>
      </c>
      <c r="DH24" t="e">
        <f>AND(#REF!,"AAAAAF/X728=")</f>
        <v>#REF!</v>
      </c>
      <c r="DI24" t="e">
        <f>AND(#REF!,"AAAAAF/X73A=")</f>
        <v>#REF!</v>
      </c>
      <c r="DJ24" t="e">
        <f>AND(#REF!,"AAAAAF/X73E=")</f>
        <v>#REF!</v>
      </c>
      <c r="DK24" t="e">
        <f>AND(#REF!,"AAAAAF/X73I=")</f>
        <v>#REF!</v>
      </c>
      <c r="DL24" t="e">
        <f>AND(#REF!,"AAAAAF/X73M=")</f>
        <v>#REF!</v>
      </c>
      <c r="DM24" t="e">
        <f>AND(#REF!,"AAAAAF/X73Q=")</f>
        <v>#REF!</v>
      </c>
      <c r="DN24" t="e">
        <f>AND(#REF!,"AAAAAF/X73U=")</f>
        <v>#REF!</v>
      </c>
      <c r="DO24" t="e">
        <f>AND(#REF!,"AAAAAF/X73Y=")</f>
        <v>#REF!</v>
      </c>
      <c r="DP24" t="e">
        <f>AND(#REF!,"AAAAAF/X73c=")</f>
        <v>#REF!</v>
      </c>
      <c r="DQ24" t="e">
        <f>AND(#REF!,"AAAAAF/X73g=")</f>
        <v>#REF!</v>
      </c>
      <c r="DR24" t="e">
        <f>AND(#REF!,"AAAAAF/X73k=")</f>
        <v>#REF!</v>
      </c>
      <c r="DS24" t="e">
        <f>AND(#REF!,"AAAAAF/X73o=")</f>
        <v>#REF!</v>
      </c>
      <c r="DT24" t="e">
        <f>AND(#REF!,"AAAAAF/X73s=")</f>
        <v>#REF!</v>
      </c>
      <c r="DU24" t="e">
        <f>AND(#REF!,"AAAAAF/X73w=")</f>
        <v>#REF!</v>
      </c>
      <c r="DV24" t="e">
        <f>AND(#REF!,"AAAAAF/X730=")</f>
        <v>#REF!</v>
      </c>
      <c r="DW24" t="e">
        <f>AND(#REF!,"AAAAAF/X734=")</f>
        <v>#REF!</v>
      </c>
      <c r="DX24" t="e">
        <f>AND(#REF!,"AAAAAF/X738=")</f>
        <v>#REF!</v>
      </c>
      <c r="DY24" t="e">
        <f>AND(#REF!,"AAAAAF/X74A=")</f>
        <v>#REF!</v>
      </c>
      <c r="DZ24" t="e">
        <f>AND(#REF!,"AAAAAF/X74E=")</f>
        <v>#REF!</v>
      </c>
      <c r="EA24" t="e">
        <f>AND(#REF!,"AAAAAF/X74I=")</f>
        <v>#REF!</v>
      </c>
      <c r="EB24" t="e">
        <f>AND(#REF!,"AAAAAF/X74M=")</f>
        <v>#REF!</v>
      </c>
      <c r="EC24" t="e">
        <f>AND(#REF!,"AAAAAF/X74Q=")</f>
        <v>#REF!</v>
      </c>
      <c r="ED24" t="e">
        <f>AND(#REF!,"AAAAAF/X74U=")</f>
        <v>#REF!</v>
      </c>
      <c r="EE24" t="e">
        <f>IF(#REF!,"AAAAAF/X74Y=",0)</f>
        <v>#REF!</v>
      </c>
      <c r="EF24" t="e">
        <f>AND(#REF!,"AAAAAF/X74c=")</f>
        <v>#REF!</v>
      </c>
      <c r="EG24" t="e">
        <f>AND(#REF!,"AAAAAF/X74g=")</f>
        <v>#REF!</v>
      </c>
      <c r="EH24" t="e">
        <f>AND(#REF!,"AAAAAF/X74k=")</f>
        <v>#REF!</v>
      </c>
      <c r="EI24" t="e">
        <f>AND(#REF!,"AAAAAF/X74o=")</f>
        <v>#REF!</v>
      </c>
      <c r="EJ24" t="e">
        <f>AND(#REF!,"AAAAAF/X74s=")</f>
        <v>#REF!</v>
      </c>
      <c r="EK24" t="e">
        <f>AND(#REF!,"AAAAAF/X74w=")</f>
        <v>#REF!</v>
      </c>
      <c r="EL24" t="e">
        <f>AND(#REF!,"AAAAAF/X740=")</f>
        <v>#REF!</v>
      </c>
      <c r="EM24" t="e">
        <f>AND(#REF!,"AAAAAF/X744=")</f>
        <v>#REF!</v>
      </c>
      <c r="EN24" t="e">
        <f>AND(#REF!,"AAAAAF/X748=")</f>
        <v>#REF!</v>
      </c>
      <c r="EO24" t="e">
        <f>AND(#REF!,"AAAAAF/X75A=")</f>
        <v>#REF!</v>
      </c>
      <c r="EP24" t="e">
        <f>AND(#REF!,"AAAAAF/X75E=")</f>
        <v>#REF!</v>
      </c>
      <c r="EQ24" t="e">
        <f>AND(#REF!,"AAAAAF/X75I=")</f>
        <v>#REF!</v>
      </c>
      <c r="ER24" t="e">
        <f>AND(#REF!,"AAAAAF/X75M=")</f>
        <v>#REF!</v>
      </c>
      <c r="ES24" t="e">
        <f>AND(#REF!,"AAAAAF/X75Q=")</f>
        <v>#REF!</v>
      </c>
      <c r="ET24" t="e">
        <f>AND(#REF!,"AAAAAF/X75U=")</f>
        <v>#REF!</v>
      </c>
      <c r="EU24" t="e">
        <f>AND(#REF!,"AAAAAF/X75Y=")</f>
        <v>#REF!</v>
      </c>
      <c r="EV24" t="e">
        <f>AND(#REF!,"AAAAAF/X75c=")</f>
        <v>#REF!</v>
      </c>
      <c r="EW24" t="e">
        <f>AND(#REF!,"AAAAAF/X75g=")</f>
        <v>#REF!</v>
      </c>
      <c r="EX24" t="e">
        <f>AND(#REF!,"AAAAAF/X75k=")</f>
        <v>#REF!</v>
      </c>
      <c r="EY24" t="e">
        <f>AND(#REF!,"AAAAAF/X75o=")</f>
        <v>#REF!</v>
      </c>
      <c r="EZ24" t="e">
        <f>AND(#REF!,"AAAAAF/X75s=")</f>
        <v>#REF!</v>
      </c>
      <c r="FA24" t="e">
        <f>AND(#REF!,"AAAAAF/X75w=")</f>
        <v>#REF!</v>
      </c>
      <c r="FB24" t="e">
        <f>AND(#REF!,"AAAAAF/X750=")</f>
        <v>#REF!</v>
      </c>
      <c r="FC24" t="e">
        <f>IF(#REF!,"AAAAAF/X754=",0)</f>
        <v>#REF!</v>
      </c>
      <c r="FD24" t="e">
        <f>AND(#REF!,"AAAAAF/X758=")</f>
        <v>#REF!</v>
      </c>
      <c r="FE24" t="e">
        <f>AND(#REF!,"AAAAAF/X76A=")</f>
        <v>#REF!</v>
      </c>
      <c r="FF24" t="e">
        <f>AND(#REF!,"AAAAAF/X76E=")</f>
        <v>#REF!</v>
      </c>
      <c r="FG24" t="e">
        <f>AND(#REF!,"AAAAAF/X76I=")</f>
        <v>#REF!</v>
      </c>
      <c r="FH24" t="e">
        <f>AND(#REF!,"AAAAAF/X76M=")</f>
        <v>#REF!</v>
      </c>
      <c r="FI24" t="e">
        <f>AND(#REF!,"AAAAAF/X76Q=")</f>
        <v>#REF!</v>
      </c>
      <c r="FJ24" t="e">
        <f>AND(#REF!,"AAAAAF/X76U=")</f>
        <v>#REF!</v>
      </c>
      <c r="FK24" t="e">
        <f>AND(#REF!,"AAAAAF/X76Y=")</f>
        <v>#REF!</v>
      </c>
      <c r="FL24" t="e">
        <f>AND(#REF!,"AAAAAF/X76c=")</f>
        <v>#REF!</v>
      </c>
      <c r="FM24" t="e">
        <f>AND(#REF!,"AAAAAF/X76g=")</f>
        <v>#REF!</v>
      </c>
      <c r="FN24" t="e">
        <f>AND(#REF!,"AAAAAF/X76k=")</f>
        <v>#REF!</v>
      </c>
      <c r="FO24" t="e">
        <f>AND(#REF!,"AAAAAF/X76o=")</f>
        <v>#REF!</v>
      </c>
      <c r="FP24" t="e">
        <f>AND(#REF!,"AAAAAF/X76s=")</f>
        <v>#REF!</v>
      </c>
      <c r="FQ24" t="e">
        <f>AND(#REF!,"AAAAAF/X76w=")</f>
        <v>#REF!</v>
      </c>
      <c r="FR24" t="e">
        <f>AND(#REF!,"AAAAAF/X760=")</f>
        <v>#REF!</v>
      </c>
      <c r="FS24" t="e">
        <f>AND(#REF!,"AAAAAF/X764=")</f>
        <v>#REF!</v>
      </c>
      <c r="FT24" t="e">
        <f>AND(#REF!,"AAAAAF/X768=")</f>
        <v>#REF!</v>
      </c>
      <c r="FU24" t="e">
        <f>AND(#REF!,"AAAAAF/X77A=")</f>
        <v>#REF!</v>
      </c>
      <c r="FV24" t="e">
        <f>AND(#REF!,"AAAAAF/X77E=")</f>
        <v>#REF!</v>
      </c>
      <c r="FW24" t="e">
        <f>AND(#REF!,"AAAAAF/X77I=")</f>
        <v>#REF!</v>
      </c>
      <c r="FX24" t="e">
        <f>AND(#REF!,"AAAAAF/X77M=")</f>
        <v>#REF!</v>
      </c>
      <c r="FY24" t="e">
        <f>AND(#REF!,"AAAAAF/X77Q=")</f>
        <v>#REF!</v>
      </c>
      <c r="FZ24" t="e">
        <f>AND(#REF!,"AAAAAF/X77U=")</f>
        <v>#REF!</v>
      </c>
      <c r="GA24" t="e">
        <f>IF(#REF!,"AAAAAF/X77Y=",0)</f>
        <v>#REF!</v>
      </c>
      <c r="GB24" t="e">
        <f>AND(#REF!,"AAAAAF/X77c=")</f>
        <v>#REF!</v>
      </c>
      <c r="GC24" t="e">
        <f>AND(#REF!,"AAAAAF/X77g=")</f>
        <v>#REF!</v>
      </c>
      <c r="GD24" t="e">
        <f>AND(#REF!,"AAAAAF/X77k=")</f>
        <v>#REF!</v>
      </c>
      <c r="GE24" t="e">
        <f>AND(#REF!,"AAAAAF/X77o=")</f>
        <v>#REF!</v>
      </c>
      <c r="GF24" t="e">
        <f>AND(#REF!,"AAAAAF/X77s=")</f>
        <v>#REF!</v>
      </c>
      <c r="GG24" t="e">
        <f>AND(#REF!,"AAAAAF/X77w=")</f>
        <v>#REF!</v>
      </c>
      <c r="GH24" t="e">
        <f>AND(#REF!,"AAAAAF/X770=")</f>
        <v>#REF!</v>
      </c>
      <c r="GI24" t="e">
        <f>AND(#REF!,"AAAAAF/X774=")</f>
        <v>#REF!</v>
      </c>
      <c r="GJ24" t="e">
        <f>AND(#REF!,"AAAAAF/X778=")</f>
        <v>#REF!</v>
      </c>
      <c r="GK24" t="e">
        <f>AND(#REF!,"AAAAAF/X78A=")</f>
        <v>#REF!</v>
      </c>
      <c r="GL24" t="e">
        <f>AND(#REF!,"AAAAAF/X78E=")</f>
        <v>#REF!</v>
      </c>
      <c r="GM24" t="e">
        <f>AND(#REF!,"AAAAAF/X78I=")</f>
        <v>#REF!</v>
      </c>
      <c r="GN24" t="e">
        <f>AND(#REF!,"AAAAAF/X78M=")</f>
        <v>#REF!</v>
      </c>
      <c r="GO24" t="e">
        <f>AND(#REF!,"AAAAAF/X78Q=")</f>
        <v>#REF!</v>
      </c>
      <c r="GP24" t="e">
        <f>AND(#REF!,"AAAAAF/X78U=")</f>
        <v>#REF!</v>
      </c>
      <c r="GQ24" t="e">
        <f>AND(#REF!,"AAAAAF/X78Y=")</f>
        <v>#REF!</v>
      </c>
      <c r="GR24" t="e">
        <f>AND(#REF!,"AAAAAF/X78c=")</f>
        <v>#REF!</v>
      </c>
      <c r="GS24" t="e">
        <f>AND(#REF!,"AAAAAF/X78g=")</f>
        <v>#REF!</v>
      </c>
      <c r="GT24" t="e">
        <f>AND(#REF!,"AAAAAF/X78k=")</f>
        <v>#REF!</v>
      </c>
      <c r="GU24" t="e">
        <f>AND(#REF!,"AAAAAF/X78o=")</f>
        <v>#REF!</v>
      </c>
      <c r="GV24" t="e">
        <f>AND(#REF!,"AAAAAF/X78s=")</f>
        <v>#REF!</v>
      </c>
      <c r="GW24" t="e">
        <f>AND(#REF!,"AAAAAF/X78w=")</f>
        <v>#REF!</v>
      </c>
      <c r="GX24" t="e">
        <f>AND(#REF!,"AAAAAF/X780=")</f>
        <v>#REF!</v>
      </c>
      <c r="GY24" t="e">
        <f>IF(#REF!,"AAAAAF/X784=",0)</f>
        <v>#REF!</v>
      </c>
      <c r="GZ24" t="e">
        <f>AND(#REF!,"AAAAAF/X788=")</f>
        <v>#REF!</v>
      </c>
      <c r="HA24" t="e">
        <f>AND(#REF!,"AAAAAF/X79A=")</f>
        <v>#REF!</v>
      </c>
      <c r="HB24" t="e">
        <f>AND(#REF!,"AAAAAF/X79E=")</f>
        <v>#REF!</v>
      </c>
      <c r="HC24" t="e">
        <f>AND(#REF!,"AAAAAF/X79I=")</f>
        <v>#REF!</v>
      </c>
      <c r="HD24" t="e">
        <f>AND(#REF!,"AAAAAF/X79M=")</f>
        <v>#REF!</v>
      </c>
      <c r="HE24" t="e">
        <f>AND(#REF!,"AAAAAF/X79Q=")</f>
        <v>#REF!</v>
      </c>
      <c r="HF24" t="e">
        <f>AND(#REF!,"AAAAAF/X79U=")</f>
        <v>#REF!</v>
      </c>
      <c r="HG24" t="e">
        <f>AND(#REF!,"AAAAAF/X79Y=")</f>
        <v>#REF!</v>
      </c>
      <c r="HH24" t="e">
        <f>AND(#REF!,"AAAAAF/X79c=")</f>
        <v>#REF!</v>
      </c>
      <c r="HI24" t="e">
        <f>AND(#REF!,"AAAAAF/X79g=")</f>
        <v>#REF!</v>
      </c>
      <c r="HJ24" t="e">
        <f>AND(#REF!,"AAAAAF/X79k=")</f>
        <v>#REF!</v>
      </c>
      <c r="HK24" t="e">
        <f>AND(#REF!,"AAAAAF/X79o=")</f>
        <v>#REF!</v>
      </c>
      <c r="HL24" t="e">
        <f>AND(#REF!,"AAAAAF/X79s=")</f>
        <v>#REF!</v>
      </c>
      <c r="HM24" t="e">
        <f>AND(#REF!,"AAAAAF/X79w=")</f>
        <v>#REF!</v>
      </c>
      <c r="HN24" t="e">
        <f>AND(#REF!,"AAAAAF/X790=")</f>
        <v>#REF!</v>
      </c>
      <c r="HO24" t="e">
        <f>AND(#REF!,"AAAAAF/X794=")</f>
        <v>#REF!</v>
      </c>
      <c r="HP24" t="e">
        <f>AND(#REF!,"AAAAAF/X798=")</f>
        <v>#REF!</v>
      </c>
      <c r="HQ24" t="e">
        <f>AND(#REF!,"AAAAAF/X7+A=")</f>
        <v>#REF!</v>
      </c>
      <c r="HR24" t="e">
        <f>AND(#REF!,"AAAAAF/X7+E=")</f>
        <v>#REF!</v>
      </c>
      <c r="HS24" t="e">
        <f>AND(#REF!,"AAAAAF/X7+I=")</f>
        <v>#REF!</v>
      </c>
      <c r="HT24" t="e">
        <f>AND(#REF!,"AAAAAF/X7+M=")</f>
        <v>#REF!</v>
      </c>
      <c r="HU24" t="e">
        <f>AND(#REF!,"AAAAAF/X7+Q=")</f>
        <v>#REF!</v>
      </c>
      <c r="HV24" t="e">
        <f>AND(#REF!,"AAAAAF/X7+U=")</f>
        <v>#REF!</v>
      </c>
      <c r="HW24" t="e">
        <f>IF(#REF!,"AAAAAF/X7+Y=",0)</f>
        <v>#REF!</v>
      </c>
      <c r="HX24" t="e">
        <f>AND(#REF!,"AAAAAF/X7+c=")</f>
        <v>#REF!</v>
      </c>
      <c r="HY24" t="e">
        <f>AND(#REF!,"AAAAAF/X7+g=")</f>
        <v>#REF!</v>
      </c>
      <c r="HZ24" t="e">
        <f>AND(#REF!,"AAAAAF/X7+k=")</f>
        <v>#REF!</v>
      </c>
      <c r="IA24" t="e">
        <f>AND(#REF!,"AAAAAF/X7+o=")</f>
        <v>#REF!</v>
      </c>
      <c r="IB24" t="e">
        <f>AND(#REF!,"AAAAAF/X7+s=")</f>
        <v>#REF!</v>
      </c>
      <c r="IC24" t="e">
        <f>AND(#REF!,"AAAAAF/X7+w=")</f>
        <v>#REF!</v>
      </c>
      <c r="ID24" t="e">
        <f>AND(#REF!,"AAAAAF/X7+0=")</f>
        <v>#REF!</v>
      </c>
      <c r="IE24" t="e">
        <f>AND(#REF!,"AAAAAF/X7+4=")</f>
        <v>#REF!</v>
      </c>
      <c r="IF24" t="e">
        <f>AND(#REF!,"AAAAAF/X7+8=")</f>
        <v>#REF!</v>
      </c>
      <c r="IG24" t="e">
        <f>AND(#REF!,"AAAAAF/X7/A=")</f>
        <v>#REF!</v>
      </c>
      <c r="IH24" t="e">
        <f>AND(#REF!,"AAAAAF/X7/E=")</f>
        <v>#REF!</v>
      </c>
      <c r="II24" t="e">
        <f>AND(#REF!,"AAAAAF/X7/I=")</f>
        <v>#REF!</v>
      </c>
      <c r="IJ24" t="e">
        <f>AND(#REF!,"AAAAAF/X7/M=")</f>
        <v>#REF!</v>
      </c>
      <c r="IK24" t="e">
        <f>AND(#REF!,"AAAAAF/X7/Q=")</f>
        <v>#REF!</v>
      </c>
      <c r="IL24" t="e">
        <f>AND(#REF!,"AAAAAF/X7/U=")</f>
        <v>#REF!</v>
      </c>
      <c r="IM24" t="e">
        <f>AND(#REF!,"AAAAAF/X7/Y=")</f>
        <v>#REF!</v>
      </c>
      <c r="IN24" t="e">
        <f>AND(#REF!,"AAAAAF/X7/c=")</f>
        <v>#REF!</v>
      </c>
      <c r="IO24" t="e">
        <f>AND(#REF!,"AAAAAF/X7/g=")</f>
        <v>#REF!</v>
      </c>
      <c r="IP24" t="e">
        <f>AND(#REF!,"AAAAAF/X7/k=")</f>
        <v>#REF!</v>
      </c>
      <c r="IQ24" t="e">
        <f>AND(#REF!,"AAAAAF/X7/o=")</f>
        <v>#REF!</v>
      </c>
      <c r="IR24" t="e">
        <f>AND(#REF!,"AAAAAF/X7/s=")</f>
        <v>#REF!</v>
      </c>
      <c r="IS24" t="e">
        <f>AND(#REF!,"AAAAAF/X7/w=")</f>
        <v>#REF!</v>
      </c>
      <c r="IT24" t="e">
        <f>AND(#REF!,"AAAAAF/X7/0=")</f>
        <v>#REF!</v>
      </c>
      <c r="IU24" t="e">
        <f>IF(#REF!,"AAAAAF/X7/4=",0)</f>
        <v>#REF!</v>
      </c>
      <c r="IV24" t="e">
        <f>AND(#REF!,"AAAAAF/X7/8=")</f>
        <v>#REF!</v>
      </c>
    </row>
    <row r="25" spans="1:256" x14ac:dyDescent="0.25">
      <c r="A25" t="e">
        <f>AND(#REF!,"AAAAAF/+fwA=")</f>
        <v>#REF!</v>
      </c>
      <c r="B25" t="e">
        <f>AND(#REF!,"AAAAAF/+fwE=")</f>
        <v>#REF!</v>
      </c>
      <c r="C25" t="e">
        <f>AND(#REF!,"AAAAAF/+fwI=")</f>
        <v>#REF!</v>
      </c>
      <c r="D25" t="e">
        <f>AND(#REF!,"AAAAAF/+fwM=")</f>
        <v>#REF!</v>
      </c>
      <c r="E25" t="e">
        <f>AND(#REF!,"AAAAAF/+fwQ=")</f>
        <v>#REF!</v>
      </c>
      <c r="F25" t="e">
        <f>AND(#REF!,"AAAAAF/+fwU=")</f>
        <v>#REF!</v>
      </c>
      <c r="G25" t="e">
        <f>AND(#REF!,"AAAAAF/+fwY=")</f>
        <v>#REF!</v>
      </c>
      <c r="H25" t="e">
        <f>AND(#REF!,"AAAAAF/+fwc=")</f>
        <v>#REF!</v>
      </c>
      <c r="I25" t="e">
        <f>AND(#REF!,"AAAAAF/+fwg=")</f>
        <v>#REF!</v>
      </c>
      <c r="J25" t="e">
        <f>AND(#REF!,"AAAAAF/+fwk=")</f>
        <v>#REF!</v>
      </c>
      <c r="K25" t="e">
        <f>AND(#REF!,"AAAAAF/+fwo=")</f>
        <v>#REF!</v>
      </c>
      <c r="L25" t="e">
        <f>AND(#REF!,"AAAAAF/+fws=")</f>
        <v>#REF!</v>
      </c>
      <c r="M25" t="e">
        <f>AND(#REF!,"AAAAAF/+fww=")</f>
        <v>#REF!</v>
      </c>
      <c r="N25" t="e">
        <f>AND(#REF!,"AAAAAF/+fw0=")</f>
        <v>#REF!</v>
      </c>
      <c r="O25" t="e">
        <f>AND(#REF!,"AAAAAF/+fw4=")</f>
        <v>#REF!</v>
      </c>
      <c r="P25" t="e">
        <f>AND(#REF!,"AAAAAF/+fw8=")</f>
        <v>#REF!</v>
      </c>
      <c r="Q25" t="e">
        <f>AND(#REF!,"AAAAAF/+fxA=")</f>
        <v>#REF!</v>
      </c>
      <c r="R25" t="e">
        <f>AND(#REF!,"AAAAAF/+fxE=")</f>
        <v>#REF!</v>
      </c>
      <c r="S25" t="e">
        <f>AND(#REF!,"AAAAAF/+fxI=")</f>
        <v>#REF!</v>
      </c>
      <c r="T25" t="e">
        <f>AND(#REF!,"AAAAAF/+fxM=")</f>
        <v>#REF!</v>
      </c>
      <c r="U25" t="e">
        <f>AND(#REF!,"AAAAAF/+fxQ=")</f>
        <v>#REF!</v>
      </c>
      <c r="V25" t="e">
        <f>AND(#REF!,"AAAAAF/+fxU=")</f>
        <v>#REF!</v>
      </c>
      <c r="W25" t="e">
        <f>IF(#REF!,"AAAAAF/+fxY=",0)</f>
        <v>#REF!</v>
      </c>
      <c r="X25" t="e">
        <f>AND(#REF!,"AAAAAF/+fxc=")</f>
        <v>#REF!</v>
      </c>
      <c r="Y25" t="e">
        <f>AND(#REF!,"AAAAAF/+fxg=")</f>
        <v>#REF!</v>
      </c>
      <c r="Z25" t="e">
        <f>AND(#REF!,"AAAAAF/+fxk=")</f>
        <v>#REF!</v>
      </c>
      <c r="AA25" t="e">
        <f>AND(#REF!,"AAAAAF/+fxo=")</f>
        <v>#REF!</v>
      </c>
      <c r="AB25" t="e">
        <f>AND(#REF!,"AAAAAF/+fxs=")</f>
        <v>#REF!</v>
      </c>
      <c r="AC25" t="e">
        <f>AND(#REF!,"AAAAAF/+fxw=")</f>
        <v>#REF!</v>
      </c>
      <c r="AD25" t="e">
        <f>AND(#REF!,"AAAAAF/+fx0=")</f>
        <v>#REF!</v>
      </c>
      <c r="AE25" t="e">
        <f>AND(#REF!,"AAAAAF/+fx4=")</f>
        <v>#REF!</v>
      </c>
      <c r="AF25" t="e">
        <f>AND(#REF!,"AAAAAF/+fx8=")</f>
        <v>#REF!</v>
      </c>
      <c r="AG25" t="e">
        <f>AND(#REF!,"AAAAAF/+fyA=")</f>
        <v>#REF!</v>
      </c>
      <c r="AH25" t="e">
        <f>AND(#REF!,"AAAAAF/+fyE=")</f>
        <v>#REF!</v>
      </c>
      <c r="AI25" t="e">
        <f>AND(#REF!,"AAAAAF/+fyI=")</f>
        <v>#REF!</v>
      </c>
      <c r="AJ25" t="e">
        <f>AND(#REF!,"AAAAAF/+fyM=")</f>
        <v>#REF!</v>
      </c>
      <c r="AK25" t="e">
        <f>AND(#REF!,"AAAAAF/+fyQ=")</f>
        <v>#REF!</v>
      </c>
      <c r="AL25" t="e">
        <f>AND(#REF!,"AAAAAF/+fyU=")</f>
        <v>#REF!</v>
      </c>
      <c r="AM25" t="e">
        <f>AND(#REF!,"AAAAAF/+fyY=")</f>
        <v>#REF!</v>
      </c>
      <c r="AN25" t="e">
        <f>AND(#REF!,"AAAAAF/+fyc=")</f>
        <v>#REF!</v>
      </c>
      <c r="AO25" t="e">
        <f>AND(#REF!,"AAAAAF/+fyg=")</f>
        <v>#REF!</v>
      </c>
      <c r="AP25" t="e">
        <f>AND(#REF!,"AAAAAF/+fyk=")</f>
        <v>#REF!</v>
      </c>
      <c r="AQ25" t="e">
        <f>AND(#REF!,"AAAAAF/+fyo=")</f>
        <v>#REF!</v>
      </c>
      <c r="AR25" t="e">
        <f>AND(#REF!,"AAAAAF/+fys=")</f>
        <v>#REF!</v>
      </c>
      <c r="AS25" t="e">
        <f>AND(#REF!,"AAAAAF/+fyw=")</f>
        <v>#REF!</v>
      </c>
      <c r="AT25" t="e">
        <f>AND(#REF!,"AAAAAF/+fy0=")</f>
        <v>#REF!</v>
      </c>
      <c r="AU25" t="e">
        <f>IF(#REF!,"AAAAAF/+fy4=",0)</f>
        <v>#REF!</v>
      </c>
      <c r="AV25" t="e">
        <f>AND(#REF!,"AAAAAF/+fy8=")</f>
        <v>#REF!</v>
      </c>
      <c r="AW25" t="e">
        <f>AND(#REF!,"AAAAAF/+fzA=")</f>
        <v>#REF!</v>
      </c>
      <c r="AX25" t="e">
        <f>AND(#REF!,"AAAAAF/+fzE=")</f>
        <v>#REF!</v>
      </c>
      <c r="AY25" t="e">
        <f>AND(#REF!,"AAAAAF/+fzI=")</f>
        <v>#REF!</v>
      </c>
      <c r="AZ25" t="e">
        <f>AND(#REF!,"AAAAAF/+fzM=")</f>
        <v>#REF!</v>
      </c>
      <c r="BA25" t="e">
        <f>AND(#REF!,"AAAAAF/+fzQ=")</f>
        <v>#REF!</v>
      </c>
      <c r="BB25" t="e">
        <f>AND(#REF!,"AAAAAF/+fzU=")</f>
        <v>#REF!</v>
      </c>
      <c r="BC25" t="e">
        <f>AND(#REF!,"AAAAAF/+fzY=")</f>
        <v>#REF!</v>
      </c>
      <c r="BD25" t="e">
        <f>AND(#REF!,"AAAAAF/+fzc=")</f>
        <v>#REF!</v>
      </c>
      <c r="BE25" t="e">
        <f>AND(#REF!,"AAAAAF/+fzg=")</f>
        <v>#REF!</v>
      </c>
      <c r="BF25" t="e">
        <f>AND(#REF!,"AAAAAF/+fzk=")</f>
        <v>#REF!</v>
      </c>
      <c r="BG25" t="e">
        <f>AND(#REF!,"AAAAAF/+fzo=")</f>
        <v>#REF!</v>
      </c>
      <c r="BH25" t="e">
        <f>AND(#REF!,"AAAAAF/+fzs=")</f>
        <v>#REF!</v>
      </c>
      <c r="BI25" t="e">
        <f>AND(#REF!,"AAAAAF/+fzw=")</f>
        <v>#REF!</v>
      </c>
      <c r="BJ25" t="e">
        <f>AND(#REF!,"AAAAAF/+fz0=")</f>
        <v>#REF!</v>
      </c>
      <c r="BK25" t="e">
        <f>AND(#REF!,"AAAAAF/+fz4=")</f>
        <v>#REF!</v>
      </c>
      <c r="BL25" t="e">
        <f>AND(#REF!,"AAAAAF/+fz8=")</f>
        <v>#REF!</v>
      </c>
      <c r="BM25" t="e">
        <f>AND(#REF!,"AAAAAF/+f0A=")</f>
        <v>#REF!</v>
      </c>
      <c r="BN25" t="e">
        <f>AND(#REF!,"AAAAAF/+f0E=")</f>
        <v>#REF!</v>
      </c>
      <c r="BO25" t="e">
        <f>AND(#REF!,"AAAAAF/+f0I=")</f>
        <v>#REF!</v>
      </c>
      <c r="BP25" t="e">
        <f>AND(#REF!,"AAAAAF/+f0M=")</f>
        <v>#REF!</v>
      </c>
      <c r="BQ25" t="e">
        <f>AND(#REF!,"AAAAAF/+f0Q=")</f>
        <v>#REF!</v>
      </c>
      <c r="BR25" t="e">
        <f>AND(#REF!,"AAAAAF/+f0U=")</f>
        <v>#REF!</v>
      </c>
      <c r="BS25" t="e">
        <f>IF(#REF!,"AAAAAF/+f0Y=",0)</f>
        <v>#REF!</v>
      </c>
      <c r="BT25" t="e">
        <f>AND(#REF!,"AAAAAF/+f0c=")</f>
        <v>#REF!</v>
      </c>
      <c r="BU25" t="e">
        <f>AND(#REF!,"AAAAAF/+f0g=")</f>
        <v>#REF!</v>
      </c>
      <c r="BV25" t="e">
        <f>AND(#REF!,"AAAAAF/+f0k=")</f>
        <v>#REF!</v>
      </c>
      <c r="BW25" t="e">
        <f>AND(#REF!,"AAAAAF/+f0o=")</f>
        <v>#REF!</v>
      </c>
      <c r="BX25" t="e">
        <f>AND(#REF!,"AAAAAF/+f0s=")</f>
        <v>#REF!</v>
      </c>
      <c r="BY25" t="e">
        <f>AND(#REF!,"AAAAAF/+f0w=")</f>
        <v>#REF!</v>
      </c>
      <c r="BZ25" t="e">
        <f>AND(#REF!,"AAAAAF/+f00=")</f>
        <v>#REF!</v>
      </c>
      <c r="CA25" t="e">
        <f>AND(#REF!,"AAAAAF/+f04=")</f>
        <v>#REF!</v>
      </c>
      <c r="CB25" t="e">
        <f>AND(#REF!,"AAAAAF/+f08=")</f>
        <v>#REF!</v>
      </c>
      <c r="CC25" t="e">
        <f>AND(#REF!,"AAAAAF/+f1A=")</f>
        <v>#REF!</v>
      </c>
      <c r="CD25" t="e">
        <f>AND(#REF!,"AAAAAF/+f1E=")</f>
        <v>#REF!</v>
      </c>
      <c r="CE25" t="e">
        <f>AND(#REF!,"AAAAAF/+f1I=")</f>
        <v>#REF!</v>
      </c>
      <c r="CF25" t="e">
        <f>AND(#REF!,"AAAAAF/+f1M=")</f>
        <v>#REF!</v>
      </c>
      <c r="CG25" t="e">
        <f>AND(#REF!,"AAAAAF/+f1Q=")</f>
        <v>#REF!</v>
      </c>
      <c r="CH25" t="e">
        <f>AND(#REF!,"AAAAAF/+f1U=")</f>
        <v>#REF!</v>
      </c>
      <c r="CI25" t="e">
        <f>AND(#REF!,"AAAAAF/+f1Y=")</f>
        <v>#REF!</v>
      </c>
      <c r="CJ25" t="e">
        <f>AND(#REF!,"AAAAAF/+f1c=")</f>
        <v>#REF!</v>
      </c>
      <c r="CK25" t="e">
        <f>AND(#REF!,"AAAAAF/+f1g=")</f>
        <v>#REF!</v>
      </c>
      <c r="CL25" t="e">
        <f>AND(#REF!,"AAAAAF/+f1k=")</f>
        <v>#REF!</v>
      </c>
      <c r="CM25" t="e">
        <f>AND(#REF!,"AAAAAF/+f1o=")</f>
        <v>#REF!</v>
      </c>
      <c r="CN25" t="e">
        <f>AND(#REF!,"AAAAAF/+f1s=")</f>
        <v>#REF!</v>
      </c>
      <c r="CO25" t="e">
        <f>AND(#REF!,"AAAAAF/+f1w=")</f>
        <v>#REF!</v>
      </c>
      <c r="CP25" t="e">
        <f>AND(#REF!,"AAAAAF/+f10=")</f>
        <v>#REF!</v>
      </c>
      <c r="CQ25" t="e">
        <f>IF(#REF!,"AAAAAF/+f14=",0)</f>
        <v>#REF!</v>
      </c>
      <c r="CR25" t="e">
        <f>AND(#REF!,"AAAAAF/+f18=")</f>
        <v>#REF!</v>
      </c>
      <c r="CS25" t="e">
        <f>AND(#REF!,"AAAAAF/+f2A=")</f>
        <v>#REF!</v>
      </c>
      <c r="CT25" t="e">
        <f>AND(#REF!,"AAAAAF/+f2E=")</f>
        <v>#REF!</v>
      </c>
      <c r="CU25" t="e">
        <f>AND(#REF!,"AAAAAF/+f2I=")</f>
        <v>#REF!</v>
      </c>
      <c r="CV25" t="e">
        <f>AND(#REF!,"AAAAAF/+f2M=")</f>
        <v>#REF!</v>
      </c>
      <c r="CW25" t="e">
        <f>AND(#REF!,"AAAAAF/+f2Q=")</f>
        <v>#REF!</v>
      </c>
      <c r="CX25" t="e">
        <f>AND(#REF!,"AAAAAF/+f2U=")</f>
        <v>#REF!</v>
      </c>
      <c r="CY25" t="e">
        <f>AND(#REF!,"AAAAAF/+f2Y=")</f>
        <v>#REF!</v>
      </c>
      <c r="CZ25" t="e">
        <f>AND(#REF!,"AAAAAF/+f2c=")</f>
        <v>#REF!</v>
      </c>
      <c r="DA25" t="e">
        <f>AND(#REF!,"AAAAAF/+f2g=")</f>
        <v>#REF!</v>
      </c>
      <c r="DB25" t="e">
        <f>AND(#REF!,"AAAAAF/+f2k=")</f>
        <v>#REF!</v>
      </c>
      <c r="DC25" t="e">
        <f>AND(#REF!,"AAAAAF/+f2o=")</f>
        <v>#REF!</v>
      </c>
      <c r="DD25" t="e">
        <f>AND(#REF!,"AAAAAF/+f2s=")</f>
        <v>#REF!</v>
      </c>
      <c r="DE25" t="e">
        <f>AND(#REF!,"AAAAAF/+f2w=")</f>
        <v>#REF!</v>
      </c>
      <c r="DF25" t="e">
        <f>AND(#REF!,"AAAAAF/+f20=")</f>
        <v>#REF!</v>
      </c>
      <c r="DG25" t="e">
        <f>AND(#REF!,"AAAAAF/+f24=")</f>
        <v>#REF!</v>
      </c>
      <c r="DH25" t="e">
        <f>AND(#REF!,"AAAAAF/+f28=")</f>
        <v>#REF!</v>
      </c>
      <c r="DI25" t="e">
        <f>AND(#REF!,"AAAAAF/+f3A=")</f>
        <v>#REF!</v>
      </c>
      <c r="DJ25" t="e">
        <f>AND(#REF!,"AAAAAF/+f3E=")</f>
        <v>#REF!</v>
      </c>
      <c r="DK25" t="e">
        <f>AND(#REF!,"AAAAAF/+f3I=")</f>
        <v>#REF!</v>
      </c>
      <c r="DL25" t="e">
        <f>AND(#REF!,"AAAAAF/+f3M=")</f>
        <v>#REF!</v>
      </c>
      <c r="DM25" t="e">
        <f>AND(#REF!,"AAAAAF/+f3Q=")</f>
        <v>#REF!</v>
      </c>
      <c r="DN25" t="e">
        <f>AND(#REF!,"AAAAAF/+f3U=")</f>
        <v>#REF!</v>
      </c>
      <c r="DO25" t="e">
        <f>IF(#REF!,"AAAAAF/+f3Y=",0)</f>
        <v>#REF!</v>
      </c>
      <c r="DP25" t="e">
        <f>AND(#REF!,"AAAAAF/+f3c=")</f>
        <v>#REF!</v>
      </c>
      <c r="DQ25" t="e">
        <f>AND(#REF!,"AAAAAF/+f3g=")</f>
        <v>#REF!</v>
      </c>
      <c r="DR25" t="e">
        <f>AND(#REF!,"AAAAAF/+f3k=")</f>
        <v>#REF!</v>
      </c>
      <c r="DS25" t="e">
        <f>AND(#REF!,"AAAAAF/+f3o=")</f>
        <v>#REF!</v>
      </c>
      <c r="DT25" t="e">
        <f>AND(#REF!,"AAAAAF/+f3s=")</f>
        <v>#REF!</v>
      </c>
      <c r="DU25" t="e">
        <f>AND(#REF!,"AAAAAF/+f3w=")</f>
        <v>#REF!</v>
      </c>
      <c r="DV25" t="e">
        <f>AND(#REF!,"AAAAAF/+f30=")</f>
        <v>#REF!</v>
      </c>
      <c r="DW25" t="e">
        <f>AND(#REF!,"AAAAAF/+f34=")</f>
        <v>#REF!</v>
      </c>
      <c r="DX25" t="e">
        <f>AND(#REF!,"AAAAAF/+f38=")</f>
        <v>#REF!</v>
      </c>
      <c r="DY25" t="e">
        <f>AND(#REF!,"AAAAAF/+f4A=")</f>
        <v>#REF!</v>
      </c>
      <c r="DZ25" t="e">
        <f>AND(#REF!,"AAAAAF/+f4E=")</f>
        <v>#REF!</v>
      </c>
      <c r="EA25" t="e">
        <f>AND(#REF!,"AAAAAF/+f4I=")</f>
        <v>#REF!</v>
      </c>
      <c r="EB25" t="e">
        <f>AND(#REF!,"AAAAAF/+f4M=")</f>
        <v>#REF!</v>
      </c>
      <c r="EC25" t="e">
        <f>AND(#REF!,"AAAAAF/+f4Q=")</f>
        <v>#REF!</v>
      </c>
      <c r="ED25" t="e">
        <f>AND(#REF!,"AAAAAF/+f4U=")</f>
        <v>#REF!</v>
      </c>
      <c r="EE25" t="e">
        <f>AND(#REF!,"AAAAAF/+f4Y=")</f>
        <v>#REF!</v>
      </c>
      <c r="EF25" t="e">
        <f>AND(#REF!,"AAAAAF/+f4c=")</f>
        <v>#REF!</v>
      </c>
      <c r="EG25" t="e">
        <f>AND(#REF!,"AAAAAF/+f4g=")</f>
        <v>#REF!</v>
      </c>
      <c r="EH25" t="e">
        <f>AND(#REF!,"AAAAAF/+f4k=")</f>
        <v>#REF!</v>
      </c>
      <c r="EI25" t="e">
        <f>AND(#REF!,"AAAAAF/+f4o=")</f>
        <v>#REF!</v>
      </c>
      <c r="EJ25" t="e">
        <f>AND(#REF!,"AAAAAF/+f4s=")</f>
        <v>#REF!</v>
      </c>
      <c r="EK25" t="e">
        <f>AND(#REF!,"AAAAAF/+f4w=")</f>
        <v>#REF!</v>
      </c>
      <c r="EL25" t="e">
        <f>AND(#REF!,"AAAAAF/+f40=")</f>
        <v>#REF!</v>
      </c>
      <c r="EM25" t="e">
        <f>IF(#REF!,"AAAAAF/+f44=",0)</f>
        <v>#REF!</v>
      </c>
      <c r="EN25" t="e">
        <f>AND(#REF!,"AAAAAF/+f48=")</f>
        <v>#REF!</v>
      </c>
      <c r="EO25" t="e">
        <f>AND(#REF!,"AAAAAF/+f5A=")</f>
        <v>#REF!</v>
      </c>
      <c r="EP25" t="e">
        <f>AND(#REF!,"AAAAAF/+f5E=")</f>
        <v>#REF!</v>
      </c>
      <c r="EQ25" t="e">
        <f>AND(#REF!,"AAAAAF/+f5I=")</f>
        <v>#REF!</v>
      </c>
      <c r="ER25" t="e">
        <f>AND(#REF!,"AAAAAF/+f5M=")</f>
        <v>#REF!</v>
      </c>
      <c r="ES25" t="e">
        <f>AND(#REF!,"AAAAAF/+f5Q=")</f>
        <v>#REF!</v>
      </c>
      <c r="ET25" t="e">
        <f>AND(#REF!,"AAAAAF/+f5U=")</f>
        <v>#REF!</v>
      </c>
      <c r="EU25" t="e">
        <f>AND(#REF!,"AAAAAF/+f5Y=")</f>
        <v>#REF!</v>
      </c>
      <c r="EV25" t="e">
        <f>AND(#REF!,"AAAAAF/+f5c=")</f>
        <v>#REF!</v>
      </c>
      <c r="EW25" t="e">
        <f>AND(#REF!,"AAAAAF/+f5g=")</f>
        <v>#REF!</v>
      </c>
      <c r="EX25" t="e">
        <f>AND(#REF!,"AAAAAF/+f5k=")</f>
        <v>#REF!</v>
      </c>
      <c r="EY25" t="e">
        <f>AND(#REF!,"AAAAAF/+f5o=")</f>
        <v>#REF!</v>
      </c>
      <c r="EZ25" t="e">
        <f>AND(#REF!,"AAAAAF/+f5s=")</f>
        <v>#REF!</v>
      </c>
      <c r="FA25" t="e">
        <f>AND(#REF!,"AAAAAF/+f5w=")</f>
        <v>#REF!</v>
      </c>
      <c r="FB25" t="e">
        <f>AND(#REF!,"AAAAAF/+f50=")</f>
        <v>#REF!</v>
      </c>
      <c r="FC25" t="e">
        <f>AND(#REF!,"AAAAAF/+f54=")</f>
        <v>#REF!</v>
      </c>
      <c r="FD25" t="e">
        <f>AND(#REF!,"AAAAAF/+f58=")</f>
        <v>#REF!</v>
      </c>
      <c r="FE25" t="e">
        <f>AND(#REF!,"AAAAAF/+f6A=")</f>
        <v>#REF!</v>
      </c>
      <c r="FF25" t="e">
        <f>AND(#REF!,"AAAAAF/+f6E=")</f>
        <v>#REF!</v>
      </c>
      <c r="FG25" t="e">
        <f>AND(#REF!,"AAAAAF/+f6I=")</f>
        <v>#REF!</v>
      </c>
      <c r="FH25" t="e">
        <f>AND(#REF!,"AAAAAF/+f6M=")</f>
        <v>#REF!</v>
      </c>
      <c r="FI25" t="e">
        <f>AND(#REF!,"AAAAAF/+f6Q=")</f>
        <v>#REF!</v>
      </c>
      <c r="FJ25" t="e">
        <f>AND(#REF!,"AAAAAF/+f6U=")</f>
        <v>#REF!</v>
      </c>
      <c r="FK25" t="e">
        <f>IF(#REF!,"AAAAAF/+f6Y=",0)</f>
        <v>#REF!</v>
      </c>
      <c r="FL25" t="e">
        <f>AND(#REF!,"AAAAAF/+f6c=")</f>
        <v>#REF!</v>
      </c>
      <c r="FM25" t="e">
        <f>AND(#REF!,"AAAAAF/+f6g=")</f>
        <v>#REF!</v>
      </c>
      <c r="FN25" t="e">
        <f>AND(#REF!,"AAAAAF/+f6k=")</f>
        <v>#REF!</v>
      </c>
      <c r="FO25" t="e">
        <f>AND(#REF!,"AAAAAF/+f6o=")</f>
        <v>#REF!</v>
      </c>
      <c r="FP25" t="e">
        <f>AND(#REF!,"AAAAAF/+f6s=")</f>
        <v>#REF!</v>
      </c>
      <c r="FQ25" t="e">
        <f>AND(#REF!,"AAAAAF/+f6w=")</f>
        <v>#REF!</v>
      </c>
      <c r="FR25" t="e">
        <f>AND(#REF!,"AAAAAF/+f60=")</f>
        <v>#REF!</v>
      </c>
      <c r="FS25" t="e">
        <f>AND(#REF!,"AAAAAF/+f64=")</f>
        <v>#REF!</v>
      </c>
      <c r="FT25" t="e">
        <f>AND(#REF!,"AAAAAF/+f68=")</f>
        <v>#REF!</v>
      </c>
      <c r="FU25" t="e">
        <f>AND(#REF!,"AAAAAF/+f7A=")</f>
        <v>#REF!</v>
      </c>
      <c r="FV25" t="e">
        <f>AND(#REF!,"AAAAAF/+f7E=")</f>
        <v>#REF!</v>
      </c>
      <c r="FW25" t="e">
        <f>AND(#REF!,"AAAAAF/+f7I=")</f>
        <v>#REF!</v>
      </c>
      <c r="FX25" t="e">
        <f>AND(#REF!,"AAAAAF/+f7M=")</f>
        <v>#REF!</v>
      </c>
      <c r="FY25" t="e">
        <f>AND(#REF!,"AAAAAF/+f7Q=")</f>
        <v>#REF!</v>
      </c>
      <c r="FZ25" t="e">
        <f>AND(#REF!,"AAAAAF/+f7U=")</f>
        <v>#REF!</v>
      </c>
      <c r="GA25" t="e">
        <f>AND(#REF!,"AAAAAF/+f7Y=")</f>
        <v>#REF!</v>
      </c>
      <c r="GB25" t="e">
        <f>AND(#REF!,"AAAAAF/+f7c=")</f>
        <v>#REF!</v>
      </c>
      <c r="GC25" t="e">
        <f>AND(#REF!,"AAAAAF/+f7g=")</f>
        <v>#REF!</v>
      </c>
      <c r="GD25" t="e">
        <f>AND(#REF!,"AAAAAF/+f7k=")</f>
        <v>#REF!</v>
      </c>
      <c r="GE25" t="e">
        <f>AND(#REF!,"AAAAAF/+f7o=")</f>
        <v>#REF!</v>
      </c>
      <c r="GF25" t="e">
        <f>AND(#REF!,"AAAAAF/+f7s=")</f>
        <v>#REF!</v>
      </c>
      <c r="GG25" t="e">
        <f>AND(#REF!,"AAAAAF/+f7w=")</f>
        <v>#REF!</v>
      </c>
      <c r="GH25" t="e">
        <f>AND(#REF!,"AAAAAF/+f70=")</f>
        <v>#REF!</v>
      </c>
      <c r="GI25" t="e">
        <f>IF(#REF!,"AAAAAF/+f74=",0)</f>
        <v>#REF!</v>
      </c>
      <c r="GJ25" t="e">
        <f>AND(#REF!,"AAAAAF/+f78=")</f>
        <v>#REF!</v>
      </c>
      <c r="GK25" t="e">
        <f>AND(#REF!,"AAAAAF/+f8A=")</f>
        <v>#REF!</v>
      </c>
      <c r="GL25" t="e">
        <f>AND(#REF!,"AAAAAF/+f8E=")</f>
        <v>#REF!</v>
      </c>
      <c r="GM25" t="e">
        <f>AND(#REF!,"AAAAAF/+f8I=")</f>
        <v>#REF!</v>
      </c>
      <c r="GN25" t="e">
        <f>AND(#REF!,"AAAAAF/+f8M=")</f>
        <v>#REF!</v>
      </c>
      <c r="GO25" t="e">
        <f>AND(#REF!,"AAAAAF/+f8Q=")</f>
        <v>#REF!</v>
      </c>
      <c r="GP25" t="e">
        <f>AND(#REF!,"AAAAAF/+f8U=")</f>
        <v>#REF!</v>
      </c>
      <c r="GQ25" t="e">
        <f>AND(#REF!,"AAAAAF/+f8Y=")</f>
        <v>#REF!</v>
      </c>
      <c r="GR25" t="e">
        <f>AND(#REF!,"AAAAAF/+f8c=")</f>
        <v>#REF!</v>
      </c>
      <c r="GS25" t="e">
        <f>AND(#REF!,"AAAAAF/+f8g=")</f>
        <v>#REF!</v>
      </c>
      <c r="GT25" t="e">
        <f>AND(#REF!,"AAAAAF/+f8k=")</f>
        <v>#REF!</v>
      </c>
      <c r="GU25" t="e">
        <f>AND(#REF!,"AAAAAF/+f8o=")</f>
        <v>#REF!</v>
      </c>
      <c r="GV25" t="e">
        <f>AND(#REF!,"AAAAAF/+f8s=")</f>
        <v>#REF!</v>
      </c>
      <c r="GW25" t="e">
        <f>AND(#REF!,"AAAAAF/+f8w=")</f>
        <v>#REF!</v>
      </c>
      <c r="GX25" t="e">
        <f>AND(#REF!,"AAAAAF/+f80=")</f>
        <v>#REF!</v>
      </c>
      <c r="GY25" t="e">
        <f>AND(#REF!,"AAAAAF/+f84=")</f>
        <v>#REF!</v>
      </c>
      <c r="GZ25" t="e">
        <f>AND(#REF!,"AAAAAF/+f88=")</f>
        <v>#REF!</v>
      </c>
      <c r="HA25" t="e">
        <f>AND(#REF!,"AAAAAF/+f9A=")</f>
        <v>#REF!</v>
      </c>
      <c r="HB25" t="e">
        <f>AND(#REF!,"AAAAAF/+f9E=")</f>
        <v>#REF!</v>
      </c>
      <c r="HC25" t="e">
        <f>AND(#REF!,"AAAAAF/+f9I=")</f>
        <v>#REF!</v>
      </c>
      <c r="HD25" t="e">
        <f>AND(#REF!,"AAAAAF/+f9M=")</f>
        <v>#REF!</v>
      </c>
      <c r="HE25" t="e">
        <f>AND(#REF!,"AAAAAF/+f9Q=")</f>
        <v>#REF!</v>
      </c>
      <c r="HF25" t="e">
        <f>AND(#REF!,"AAAAAF/+f9U=")</f>
        <v>#REF!</v>
      </c>
      <c r="HG25" t="e">
        <f>IF(#REF!,"AAAAAF/+f9Y=",0)</f>
        <v>#REF!</v>
      </c>
      <c r="HH25" t="e">
        <f>AND(#REF!,"AAAAAF/+f9c=")</f>
        <v>#REF!</v>
      </c>
      <c r="HI25" t="e">
        <f>AND(#REF!,"AAAAAF/+f9g=")</f>
        <v>#REF!</v>
      </c>
      <c r="HJ25" t="e">
        <f>AND(#REF!,"AAAAAF/+f9k=")</f>
        <v>#REF!</v>
      </c>
      <c r="HK25" t="e">
        <f>AND(#REF!,"AAAAAF/+f9o=")</f>
        <v>#REF!</v>
      </c>
      <c r="HL25" t="e">
        <f>AND(#REF!,"AAAAAF/+f9s=")</f>
        <v>#REF!</v>
      </c>
      <c r="HM25" t="e">
        <f>AND(#REF!,"AAAAAF/+f9w=")</f>
        <v>#REF!</v>
      </c>
      <c r="HN25" t="e">
        <f>AND(#REF!,"AAAAAF/+f90=")</f>
        <v>#REF!</v>
      </c>
      <c r="HO25" t="e">
        <f>AND(#REF!,"AAAAAF/+f94=")</f>
        <v>#REF!</v>
      </c>
      <c r="HP25" t="e">
        <f>AND(#REF!,"AAAAAF/+f98=")</f>
        <v>#REF!</v>
      </c>
      <c r="HQ25" t="e">
        <f>AND(#REF!,"AAAAAF/+f+A=")</f>
        <v>#REF!</v>
      </c>
      <c r="HR25" t="e">
        <f>AND(#REF!,"AAAAAF/+f+E=")</f>
        <v>#REF!</v>
      </c>
      <c r="HS25" t="e">
        <f>AND(#REF!,"AAAAAF/+f+I=")</f>
        <v>#REF!</v>
      </c>
      <c r="HT25" t="e">
        <f>AND(#REF!,"AAAAAF/+f+M=")</f>
        <v>#REF!</v>
      </c>
      <c r="HU25" t="e">
        <f>AND(#REF!,"AAAAAF/+f+Q=")</f>
        <v>#REF!</v>
      </c>
      <c r="HV25" t="e">
        <f>AND(#REF!,"AAAAAF/+f+U=")</f>
        <v>#REF!</v>
      </c>
      <c r="HW25" t="e">
        <f>AND(#REF!,"AAAAAF/+f+Y=")</f>
        <v>#REF!</v>
      </c>
      <c r="HX25" t="e">
        <f>AND(#REF!,"AAAAAF/+f+c=")</f>
        <v>#REF!</v>
      </c>
      <c r="HY25" t="e">
        <f>AND(#REF!,"AAAAAF/+f+g=")</f>
        <v>#REF!</v>
      </c>
      <c r="HZ25" t="e">
        <f>AND(#REF!,"AAAAAF/+f+k=")</f>
        <v>#REF!</v>
      </c>
      <c r="IA25" t="e">
        <f>AND(#REF!,"AAAAAF/+f+o=")</f>
        <v>#REF!</v>
      </c>
      <c r="IB25" t="e">
        <f>AND(#REF!,"AAAAAF/+f+s=")</f>
        <v>#REF!</v>
      </c>
      <c r="IC25" t="e">
        <f>AND(#REF!,"AAAAAF/+f+w=")</f>
        <v>#REF!</v>
      </c>
      <c r="ID25" t="e">
        <f>AND(#REF!,"AAAAAF/+f+0=")</f>
        <v>#REF!</v>
      </c>
      <c r="IE25" t="e">
        <f>IF(#REF!,"AAAAAF/+f+4=",0)</f>
        <v>#REF!</v>
      </c>
      <c r="IF25" t="e">
        <f>AND(#REF!,"AAAAAF/+f+8=")</f>
        <v>#REF!</v>
      </c>
      <c r="IG25" t="e">
        <f>AND(#REF!,"AAAAAF/+f/A=")</f>
        <v>#REF!</v>
      </c>
      <c r="IH25" t="e">
        <f>AND(#REF!,"AAAAAF/+f/E=")</f>
        <v>#REF!</v>
      </c>
      <c r="II25" t="e">
        <f>AND(#REF!,"AAAAAF/+f/I=")</f>
        <v>#REF!</v>
      </c>
      <c r="IJ25" t="e">
        <f>AND(#REF!,"AAAAAF/+f/M=")</f>
        <v>#REF!</v>
      </c>
      <c r="IK25" t="e">
        <f>AND(#REF!,"AAAAAF/+f/Q=")</f>
        <v>#REF!</v>
      </c>
      <c r="IL25" t="e">
        <f>AND(#REF!,"AAAAAF/+f/U=")</f>
        <v>#REF!</v>
      </c>
      <c r="IM25" t="e">
        <f>AND(#REF!,"AAAAAF/+f/Y=")</f>
        <v>#REF!</v>
      </c>
      <c r="IN25" t="e">
        <f>AND(#REF!,"AAAAAF/+f/c=")</f>
        <v>#REF!</v>
      </c>
      <c r="IO25" t="e">
        <f>AND(#REF!,"AAAAAF/+f/g=")</f>
        <v>#REF!</v>
      </c>
      <c r="IP25" t="e">
        <f>AND(#REF!,"AAAAAF/+f/k=")</f>
        <v>#REF!</v>
      </c>
      <c r="IQ25" t="e">
        <f>AND(#REF!,"AAAAAF/+f/o=")</f>
        <v>#REF!</v>
      </c>
      <c r="IR25" t="e">
        <f>AND(#REF!,"AAAAAF/+f/s=")</f>
        <v>#REF!</v>
      </c>
      <c r="IS25" t="e">
        <f>AND(#REF!,"AAAAAF/+f/w=")</f>
        <v>#REF!</v>
      </c>
      <c r="IT25" t="e">
        <f>AND(#REF!,"AAAAAF/+f/0=")</f>
        <v>#REF!</v>
      </c>
      <c r="IU25" t="e">
        <f>AND(#REF!,"AAAAAF/+f/4=")</f>
        <v>#REF!</v>
      </c>
      <c r="IV25" t="e">
        <f>AND(#REF!,"AAAAAF/+f/8=")</f>
        <v>#REF!</v>
      </c>
    </row>
    <row r="26" spans="1:256" x14ac:dyDescent="0.25">
      <c r="A26" t="e">
        <f>AND(#REF!,"AAAAAHc4fwA=")</f>
        <v>#REF!</v>
      </c>
      <c r="B26" t="e">
        <f>AND(#REF!,"AAAAAHc4fwE=")</f>
        <v>#REF!</v>
      </c>
      <c r="C26" t="e">
        <f>AND(#REF!,"AAAAAHc4fwI=")</f>
        <v>#REF!</v>
      </c>
      <c r="D26" t="e">
        <f>AND(#REF!,"AAAAAHc4fwM=")</f>
        <v>#REF!</v>
      </c>
      <c r="E26" t="e">
        <f>AND(#REF!,"AAAAAHc4fwQ=")</f>
        <v>#REF!</v>
      </c>
      <c r="F26" t="e">
        <f>AND(#REF!,"AAAAAHc4fwU=")</f>
        <v>#REF!</v>
      </c>
      <c r="G26" t="e">
        <f>IF(#REF!,"AAAAAHc4fwY=",0)</f>
        <v>#REF!</v>
      </c>
      <c r="H26" t="e">
        <f>AND(#REF!,"AAAAAHc4fwc=")</f>
        <v>#REF!</v>
      </c>
      <c r="I26" t="e">
        <f>AND(#REF!,"AAAAAHc4fwg=")</f>
        <v>#REF!</v>
      </c>
      <c r="J26" t="e">
        <f>AND(#REF!,"AAAAAHc4fwk=")</f>
        <v>#REF!</v>
      </c>
      <c r="K26" t="e">
        <f>AND(#REF!,"AAAAAHc4fwo=")</f>
        <v>#REF!</v>
      </c>
      <c r="L26" t="e">
        <f>AND(#REF!,"AAAAAHc4fws=")</f>
        <v>#REF!</v>
      </c>
      <c r="M26" t="e">
        <f>AND(#REF!,"AAAAAHc4fww=")</f>
        <v>#REF!</v>
      </c>
      <c r="N26" t="e">
        <f>AND(#REF!,"AAAAAHc4fw0=")</f>
        <v>#REF!</v>
      </c>
      <c r="O26" t="e">
        <f>AND(#REF!,"AAAAAHc4fw4=")</f>
        <v>#REF!</v>
      </c>
      <c r="P26" t="e">
        <f>AND(#REF!,"AAAAAHc4fw8=")</f>
        <v>#REF!</v>
      </c>
      <c r="Q26" t="e">
        <f>AND(#REF!,"AAAAAHc4fxA=")</f>
        <v>#REF!</v>
      </c>
      <c r="R26" t="e">
        <f>AND(#REF!,"AAAAAHc4fxE=")</f>
        <v>#REF!</v>
      </c>
      <c r="S26" t="e">
        <f>AND(#REF!,"AAAAAHc4fxI=")</f>
        <v>#REF!</v>
      </c>
      <c r="T26" t="e">
        <f>AND(#REF!,"AAAAAHc4fxM=")</f>
        <v>#REF!</v>
      </c>
      <c r="U26" t="e">
        <f>AND(#REF!,"AAAAAHc4fxQ=")</f>
        <v>#REF!</v>
      </c>
      <c r="V26" t="e">
        <f>AND(#REF!,"AAAAAHc4fxU=")</f>
        <v>#REF!</v>
      </c>
      <c r="W26" t="e">
        <f>AND(#REF!,"AAAAAHc4fxY=")</f>
        <v>#REF!</v>
      </c>
      <c r="X26" t="e">
        <f>AND(#REF!,"AAAAAHc4fxc=")</f>
        <v>#REF!</v>
      </c>
      <c r="Y26" t="e">
        <f>AND(#REF!,"AAAAAHc4fxg=")</f>
        <v>#REF!</v>
      </c>
      <c r="Z26" t="e">
        <f>AND(#REF!,"AAAAAHc4fxk=")</f>
        <v>#REF!</v>
      </c>
      <c r="AA26" t="e">
        <f>AND(#REF!,"AAAAAHc4fxo=")</f>
        <v>#REF!</v>
      </c>
      <c r="AB26" t="e">
        <f>AND(#REF!,"AAAAAHc4fxs=")</f>
        <v>#REF!</v>
      </c>
      <c r="AC26" t="e">
        <f>AND(#REF!,"AAAAAHc4fxw=")</f>
        <v>#REF!</v>
      </c>
      <c r="AD26" t="e">
        <f>AND(#REF!,"AAAAAHc4fx0=")</f>
        <v>#REF!</v>
      </c>
      <c r="AE26" t="e">
        <f>IF(#REF!,"AAAAAHc4fx4=",0)</f>
        <v>#REF!</v>
      </c>
      <c r="AF26" t="e">
        <f>AND(#REF!,"AAAAAHc4fx8=")</f>
        <v>#REF!</v>
      </c>
      <c r="AG26" t="e">
        <f>AND(#REF!,"AAAAAHc4fyA=")</f>
        <v>#REF!</v>
      </c>
      <c r="AH26" t="e">
        <f>AND(#REF!,"AAAAAHc4fyE=")</f>
        <v>#REF!</v>
      </c>
      <c r="AI26" t="e">
        <f>AND(#REF!,"AAAAAHc4fyI=")</f>
        <v>#REF!</v>
      </c>
      <c r="AJ26" t="e">
        <f>AND(#REF!,"AAAAAHc4fyM=")</f>
        <v>#REF!</v>
      </c>
      <c r="AK26" t="e">
        <f>AND(#REF!,"AAAAAHc4fyQ=")</f>
        <v>#REF!</v>
      </c>
      <c r="AL26" t="e">
        <f>AND(#REF!,"AAAAAHc4fyU=")</f>
        <v>#REF!</v>
      </c>
      <c r="AM26" t="e">
        <f>AND(#REF!,"AAAAAHc4fyY=")</f>
        <v>#REF!</v>
      </c>
      <c r="AN26" t="e">
        <f>AND(#REF!,"AAAAAHc4fyc=")</f>
        <v>#REF!</v>
      </c>
      <c r="AO26" t="e">
        <f>AND(#REF!,"AAAAAHc4fyg=")</f>
        <v>#REF!</v>
      </c>
      <c r="AP26" t="e">
        <f>AND(#REF!,"AAAAAHc4fyk=")</f>
        <v>#REF!</v>
      </c>
      <c r="AQ26" t="e">
        <f>AND(#REF!,"AAAAAHc4fyo=")</f>
        <v>#REF!</v>
      </c>
      <c r="AR26" t="e">
        <f>AND(#REF!,"AAAAAHc4fys=")</f>
        <v>#REF!</v>
      </c>
      <c r="AS26" t="e">
        <f>AND(#REF!,"AAAAAHc4fyw=")</f>
        <v>#REF!</v>
      </c>
      <c r="AT26" t="e">
        <f>AND(#REF!,"AAAAAHc4fy0=")</f>
        <v>#REF!</v>
      </c>
      <c r="AU26" t="e">
        <f>AND(#REF!,"AAAAAHc4fy4=")</f>
        <v>#REF!</v>
      </c>
      <c r="AV26" t="e">
        <f>AND(#REF!,"AAAAAHc4fy8=")</f>
        <v>#REF!</v>
      </c>
      <c r="AW26" t="e">
        <f>AND(#REF!,"AAAAAHc4fzA=")</f>
        <v>#REF!</v>
      </c>
      <c r="AX26" t="e">
        <f>AND(#REF!,"AAAAAHc4fzE=")</f>
        <v>#REF!</v>
      </c>
      <c r="AY26" t="e">
        <f>AND(#REF!,"AAAAAHc4fzI=")</f>
        <v>#REF!</v>
      </c>
      <c r="AZ26" t="e">
        <f>AND(#REF!,"AAAAAHc4fzM=")</f>
        <v>#REF!</v>
      </c>
      <c r="BA26" t="e">
        <f>AND(#REF!,"AAAAAHc4fzQ=")</f>
        <v>#REF!</v>
      </c>
      <c r="BB26" t="e">
        <f>AND(#REF!,"AAAAAHc4fzU=")</f>
        <v>#REF!</v>
      </c>
      <c r="BC26" t="e">
        <f>IF(#REF!,"AAAAAHc4fzY=",0)</f>
        <v>#REF!</v>
      </c>
      <c r="BD26" t="e">
        <f>AND(#REF!,"AAAAAHc4fzc=")</f>
        <v>#REF!</v>
      </c>
      <c r="BE26" t="e">
        <f>AND(#REF!,"AAAAAHc4fzg=")</f>
        <v>#REF!</v>
      </c>
      <c r="BF26" t="e">
        <f>AND(#REF!,"AAAAAHc4fzk=")</f>
        <v>#REF!</v>
      </c>
      <c r="BG26" t="e">
        <f>AND(#REF!,"AAAAAHc4fzo=")</f>
        <v>#REF!</v>
      </c>
      <c r="BH26" t="e">
        <f>AND(#REF!,"AAAAAHc4fzs=")</f>
        <v>#REF!</v>
      </c>
      <c r="BI26" t="e">
        <f>AND(#REF!,"AAAAAHc4fzw=")</f>
        <v>#REF!</v>
      </c>
      <c r="BJ26" t="e">
        <f>AND(#REF!,"AAAAAHc4fz0=")</f>
        <v>#REF!</v>
      </c>
      <c r="BK26" t="e">
        <f>AND(#REF!,"AAAAAHc4fz4=")</f>
        <v>#REF!</v>
      </c>
      <c r="BL26" t="e">
        <f>AND(#REF!,"AAAAAHc4fz8=")</f>
        <v>#REF!</v>
      </c>
      <c r="BM26" t="e">
        <f>AND(#REF!,"AAAAAHc4f0A=")</f>
        <v>#REF!</v>
      </c>
      <c r="BN26" t="e">
        <f>AND(#REF!,"AAAAAHc4f0E=")</f>
        <v>#REF!</v>
      </c>
      <c r="BO26" t="e">
        <f>AND(#REF!,"AAAAAHc4f0I=")</f>
        <v>#REF!</v>
      </c>
      <c r="BP26" t="e">
        <f>AND(#REF!,"AAAAAHc4f0M=")</f>
        <v>#REF!</v>
      </c>
      <c r="BQ26" t="e">
        <f>AND(#REF!,"AAAAAHc4f0Q=")</f>
        <v>#REF!</v>
      </c>
      <c r="BR26" t="e">
        <f>AND(#REF!,"AAAAAHc4f0U=")</f>
        <v>#REF!</v>
      </c>
      <c r="BS26" t="e">
        <f>AND(#REF!,"AAAAAHc4f0Y=")</f>
        <v>#REF!</v>
      </c>
      <c r="BT26" t="e">
        <f>AND(#REF!,"AAAAAHc4f0c=")</f>
        <v>#REF!</v>
      </c>
      <c r="BU26" t="e">
        <f>AND(#REF!,"AAAAAHc4f0g=")</f>
        <v>#REF!</v>
      </c>
      <c r="BV26" t="e">
        <f>AND(#REF!,"AAAAAHc4f0k=")</f>
        <v>#REF!</v>
      </c>
      <c r="BW26" t="e">
        <f>AND(#REF!,"AAAAAHc4f0o=")</f>
        <v>#REF!</v>
      </c>
      <c r="BX26" t="e">
        <f>AND(#REF!,"AAAAAHc4f0s=")</f>
        <v>#REF!</v>
      </c>
      <c r="BY26" t="e">
        <f>AND(#REF!,"AAAAAHc4f0w=")</f>
        <v>#REF!</v>
      </c>
      <c r="BZ26" t="e">
        <f>AND(#REF!,"AAAAAHc4f00=")</f>
        <v>#REF!</v>
      </c>
      <c r="CA26" t="e">
        <f>IF(#REF!,"AAAAAHc4f04=",0)</f>
        <v>#REF!</v>
      </c>
      <c r="CB26" t="e">
        <f>AND(#REF!,"AAAAAHc4f08=")</f>
        <v>#REF!</v>
      </c>
      <c r="CC26" t="e">
        <f>AND(#REF!,"AAAAAHc4f1A=")</f>
        <v>#REF!</v>
      </c>
      <c r="CD26" t="e">
        <f>AND(#REF!,"AAAAAHc4f1E=")</f>
        <v>#REF!</v>
      </c>
      <c r="CE26" t="e">
        <f>AND(#REF!,"AAAAAHc4f1I=")</f>
        <v>#REF!</v>
      </c>
      <c r="CF26" t="e">
        <f>AND(#REF!,"AAAAAHc4f1M=")</f>
        <v>#REF!</v>
      </c>
      <c r="CG26" t="e">
        <f>AND(#REF!,"AAAAAHc4f1Q=")</f>
        <v>#REF!</v>
      </c>
      <c r="CH26" t="e">
        <f>AND(#REF!,"AAAAAHc4f1U=")</f>
        <v>#REF!</v>
      </c>
      <c r="CI26" t="e">
        <f>AND(#REF!,"AAAAAHc4f1Y=")</f>
        <v>#REF!</v>
      </c>
      <c r="CJ26" t="e">
        <f>AND(#REF!,"AAAAAHc4f1c=")</f>
        <v>#REF!</v>
      </c>
      <c r="CK26" t="e">
        <f>AND(#REF!,"AAAAAHc4f1g=")</f>
        <v>#REF!</v>
      </c>
      <c r="CL26" t="e">
        <f>AND(#REF!,"AAAAAHc4f1k=")</f>
        <v>#REF!</v>
      </c>
      <c r="CM26" t="e">
        <f>AND(#REF!,"AAAAAHc4f1o=")</f>
        <v>#REF!</v>
      </c>
      <c r="CN26" t="e">
        <f>AND(#REF!,"AAAAAHc4f1s=")</f>
        <v>#REF!</v>
      </c>
      <c r="CO26" t="e">
        <f>AND(#REF!,"AAAAAHc4f1w=")</f>
        <v>#REF!</v>
      </c>
      <c r="CP26" t="e">
        <f>AND(#REF!,"AAAAAHc4f10=")</f>
        <v>#REF!</v>
      </c>
      <c r="CQ26" t="e">
        <f>AND(#REF!,"AAAAAHc4f14=")</f>
        <v>#REF!</v>
      </c>
      <c r="CR26" t="e">
        <f>AND(#REF!,"AAAAAHc4f18=")</f>
        <v>#REF!</v>
      </c>
      <c r="CS26" t="e">
        <f>AND(#REF!,"AAAAAHc4f2A=")</f>
        <v>#REF!</v>
      </c>
      <c r="CT26" t="e">
        <f>AND(#REF!,"AAAAAHc4f2E=")</f>
        <v>#REF!</v>
      </c>
      <c r="CU26" t="e">
        <f>AND(#REF!,"AAAAAHc4f2I=")</f>
        <v>#REF!</v>
      </c>
      <c r="CV26" t="e">
        <f>AND(#REF!,"AAAAAHc4f2M=")</f>
        <v>#REF!</v>
      </c>
      <c r="CW26" t="e">
        <f>AND(#REF!,"AAAAAHc4f2Q=")</f>
        <v>#REF!</v>
      </c>
      <c r="CX26" t="e">
        <f>AND(#REF!,"AAAAAHc4f2U=")</f>
        <v>#REF!</v>
      </c>
      <c r="CY26" t="e">
        <f>IF(#REF!,"AAAAAHc4f2Y=",0)</f>
        <v>#REF!</v>
      </c>
      <c r="CZ26" t="e">
        <f>AND(#REF!,"AAAAAHc4f2c=")</f>
        <v>#REF!</v>
      </c>
      <c r="DA26" t="e">
        <f>AND(#REF!,"AAAAAHc4f2g=")</f>
        <v>#REF!</v>
      </c>
      <c r="DB26" t="e">
        <f>AND(#REF!,"AAAAAHc4f2k=")</f>
        <v>#REF!</v>
      </c>
      <c r="DC26" t="e">
        <f>AND(#REF!,"AAAAAHc4f2o=")</f>
        <v>#REF!</v>
      </c>
      <c r="DD26" t="e">
        <f>AND(#REF!,"AAAAAHc4f2s=")</f>
        <v>#REF!</v>
      </c>
      <c r="DE26" t="e">
        <f>AND(#REF!,"AAAAAHc4f2w=")</f>
        <v>#REF!</v>
      </c>
      <c r="DF26" t="e">
        <f>AND(#REF!,"AAAAAHc4f20=")</f>
        <v>#REF!</v>
      </c>
      <c r="DG26" t="e">
        <f>AND(#REF!,"AAAAAHc4f24=")</f>
        <v>#REF!</v>
      </c>
      <c r="DH26" t="e">
        <f>AND(#REF!,"AAAAAHc4f28=")</f>
        <v>#REF!</v>
      </c>
      <c r="DI26" t="e">
        <f>AND(#REF!,"AAAAAHc4f3A=")</f>
        <v>#REF!</v>
      </c>
      <c r="DJ26" t="e">
        <f>AND(#REF!,"AAAAAHc4f3E=")</f>
        <v>#REF!</v>
      </c>
      <c r="DK26" t="e">
        <f>AND(#REF!,"AAAAAHc4f3I=")</f>
        <v>#REF!</v>
      </c>
      <c r="DL26" t="e">
        <f>AND(#REF!,"AAAAAHc4f3M=")</f>
        <v>#REF!</v>
      </c>
      <c r="DM26" t="e">
        <f>AND(#REF!,"AAAAAHc4f3Q=")</f>
        <v>#REF!</v>
      </c>
      <c r="DN26" t="e">
        <f>AND(#REF!,"AAAAAHc4f3U=")</f>
        <v>#REF!</v>
      </c>
      <c r="DO26" t="e">
        <f>AND(#REF!,"AAAAAHc4f3Y=")</f>
        <v>#REF!</v>
      </c>
      <c r="DP26" t="e">
        <f>AND(#REF!,"AAAAAHc4f3c=")</f>
        <v>#REF!</v>
      </c>
      <c r="DQ26" t="e">
        <f>AND(#REF!,"AAAAAHc4f3g=")</f>
        <v>#REF!</v>
      </c>
      <c r="DR26" t="e">
        <f>AND(#REF!,"AAAAAHc4f3k=")</f>
        <v>#REF!</v>
      </c>
      <c r="DS26" t="e">
        <f>AND(#REF!,"AAAAAHc4f3o=")</f>
        <v>#REF!</v>
      </c>
      <c r="DT26" t="e">
        <f>AND(#REF!,"AAAAAHc4f3s=")</f>
        <v>#REF!</v>
      </c>
      <c r="DU26" t="e">
        <f>AND(#REF!,"AAAAAHc4f3w=")</f>
        <v>#REF!</v>
      </c>
      <c r="DV26" t="e">
        <f>AND(#REF!,"AAAAAHc4f30=")</f>
        <v>#REF!</v>
      </c>
      <c r="DW26" t="e">
        <f>IF(#REF!,"AAAAAHc4f34=",0)</f>
        <v>#REF!</v>
      </c>
      <c r="DX26" t="e">
        <f>AND(#REF!,"AAAAAHc4f38=")</f>
        <v>#REF!</v>
      </c>
      <c r="DY26" t="e">
        <f>AND(#REF!,"AAAAAHc4f4A=")</f>
        <v>#REF!</v>
      </c>
      <c r="DZ26" t="e">
        <f>AND(#REF!,"AAAAAHc4f4E=")</f>
        <v>#REF!</v>
      </c>
      <c r="EA26" t="e">
        <f>AND(#REF!,"AAAAAHc4f4I=")</f>
        <v>#REF!</v>
      </c>
      <c r="EB26" t="e">
        <f>AND(#REF!,"AAAAAHc4f4M=")</f>
        <v>#REF!</v>
      </c>
      <c r="EC26" t="e">
        <f>AND(#REF!,"AAAAAHc4f4Q=")</f>
        <v>#REF!</v>
      </c>
      <c r="ED26" t="e">
        <f>AND(#REF!,"AAAAAHc4f4U=")</f>
        <v>#REF!</v>
      </c>
      <c r="EE26" t="e">
        <f>AND(#REF!,"AAAAAHc4f4Y=")</f>
        <v>#REF!</v>
      </c>
      <c r="EF26" t="e">
        <f>AND(#REF!,"AAAAAHc4f4c=")</f>
        <v>#REF!</v>
      </c>
      <c r="EG26" t="e">
        <f>AND(#REF!,"AAAAAHc4f4g=")</f>
        <v>#REF!</v>
      </c>
      <c r="EH26" t="e">
        <f>AND(#REF!,"AAAAAHc4f4k=")</f>
        <v>#REF!</v>
      </c>
      <c r="EI26" t="e">
        <f>AND(#REF!,"AAAAAHc4f4o=")</f>
        <v>#REF!</v>
      </c>
      <c r="EJ26" t="e">
        <f>AND(#REF!,"AAAAAHc4f4s=")</f>
        <v>#REF!</v>
      </c>
      <c r="EK26" t="e">
        <f>AND(#REF!,"AAAAAHc4f4w=")</f>
        <v>#REF!</v>
      </c>
      <c r="EL26" t="e">
        <f>AND(#REF!,"AAAAAHc4f40=")</f>
        <v>#REF!</v>
      </c>
      <c r="EM26" t="e">
        <f>AND(#REF!,"AAAAAHc4f44=")</f>
        <v>#REF!</v>
      </c>
      <c r="EN26" t="e">
        <f>AND(#REF!,"AAAAAHc4f48=")</f>
        <v>#REF!</v>
      </c>
      <c r="EO26" t="e">
        <f>AND(#REF!,"AAAAAHc4f5A=")</f>
        <v>#REF!</v>
      </c>
      <c r="EP26" t="e">
        <f>AND(#REF!,"AAAAAHc4f5E=")</f>
        <v>#REF!</v>
      </c>
      <c r="EQ26" t="e">
        <f>AND(#REF!,"AAAAAHc4f5I=")</f>
        <v>#REF!</v>
      </c>
      <c r="ER26" t="e">
        <f>AND(#REF!,"AAAAAHc4f5M=")</f>
        <v>#REF!</v>
      </c>
      <c r="ES26" t="e">
        <f>AND(#REF!,"AAAAAHc4f5Q=")</f>
        <v>#REF!</v>
      </c>
      <c r="ET26" t="e">
        <f>AND(#REF!,"AAAAAHc4f5U=")</f>
        <v>#REF!</v>
      </c>
      <c r="EU26" t="e">
        <f>IF(#REF!,"AAAAAHc4f5Y=",0)</f>
        <v>#REF!</v>
      </c>
      <c r="EV26" t="e">
        <f>AND(#REF!,"AAAAAHc4f5c=")</f>
        <v>#REF!</v>
      </c>
      <c r="EW26" t="e">
        <f>AND(#REF!,"AAAAAHc4f5g=")</f>
        <v>#REF!</v>
      </c>
      <c r="EX26" t="e">
        <f>AND(#REF!,"AAAAAHc4f5k=")</f>
        <v>#REF!</v>
      </c>
      <c r="EY26" t="e">
        <f>AND(#REF!,"AAAAAHc4f5o=")</f>
        <v>#REF!</v>
      </c>
      <c r="EZ26" t="e">
        <f>AND(#REF!,"AAAAAHc4f5s=")</f>
        <v>#REF!</v>
      </c>
      <c r="FA26" t="e">
        <f>AND(#REF!,"AAAAAHc4f5w=")</f>
        <v>#REF!</v>
      </c>
      <c r="FB26" t="e">
        <f>AND(#REF!,"AAAAAHc4f50=")</f>
        <v>#REF!</v>
      </c>
      <c r="FC26" t="e">
        <f>AND(#REF!,"AAAAAHc4f54=")</f>
        <v>#REF!</v>
      </c>
      <c r="FD26" t="e">
        <f>AND(#REF!,"AAAAAHc4f58=")</f>
        <v>#REF!</v>
      </c>
      <c r="FE26" t="e">
        <f>AND(#REF!,"AAAAAHc4f6A=")</f>
        <v>#REF!</v>
      </c>
      <c r="FF26" t="e">
        <f>AND(#REF!,"AAAAAHc4f6E=")</f>
        <v>#REF!</v>
      </c>
      <c r="FG26" t="e">
        <f>AND(#REF!,"AAAAAHc4f6I=")</f>
        <v>#REF!</v>
      </c>
      <c r="FH26" t="e">
        <f>AND(#REF!,"AAAAAHc4f6M=")</f>
        <v>#REF!</v>
      </c>
      <c r="FI26" t="e">
        <f>AND(#REF!,"AAAAAHc4f6Q=")</f>
        <v>#REF!</v>
      </c>
      <c r="FJ26" t="e">
        <f>AND(#REF!,"AAAAAHc4f6U=")</f>
        <v>#REF!</v>
      </c>
      <c r="FK26" t="e">
        <f>AND(#REF!,"AAAAAHc4f6Y=")</f>
        <v>#REF!</v>
      </c>
      <c r="FL26" t="e">
        <f>AND(#REF!,"AAAAAHc4f6c=")</f>
        <v>#REF!</v>
      </c>
      <c r="FM26" t="e">
        <f>AND(#REF!,"AAAAAHc4f6g=")</f>
        <v>#REF!</v>
      </c>
      <c r="FN26" t="e">
        <f>AND(#REF!,"AAAAAHc4f6k=")</f>
        <v>#REF!</v>
      </c>
      <c r="FO26" t="e">
        <f>AND(#REF!,"AAAAAHc4f6o=")</f>
        <v>#REF!</v>
      </c>
      <c r="FP26" t="e">
        <f>AND(#REF!,"AAAAAHc4f6s=")</f>
        <v>#REF!</v>
      </c>
      <c r="FQ26" t="e">
        <f>AND(#REF!,"AAAAAHc4f6w=")</f>
        <v>#REF!</v>
      </c>
      <c r="FR26" t="e">
        <f>AND(#REF!,"AAAAAHc4f60=")</f>
        <v>#REF!</v>
      </c>
      <c r="FS26" t="e">
        <f>IF(#REF!,"AAAAAHc4f64=",0)</f>
        <v>#REF!</v>
      </c>
      <c r="FT26" t="e">
        <f>AND(#REF!,"AAAAAHc4f68=")</f>
        <v>#REF!</v>
      </c>
      <c r="FU26" t="e">
        <f>AND(#REF!,"AAAAAHc4f7A=")</f>
        <v>#REF!</v>
      </c>
      <c r="FV26" t="e">
        <f>AND(#REF!,"AAAAAHc4f7E=")</f>
        <v>#REF!</v>
      </c>
      <c r="FW26" t="e">
        <f>AND(#REF!,"AAAAAHc4f7I=")</f>
        <v>#REF!</v>
      </c>
      <c r="FX26" t="e">
        <f>AND(#REF!,"AAAAAHc4f7M=")</f>
        <v>#REF!</v>
      </c>
      <c r="FY26" t="e">
        <f>AND(#REF!,"AAAAAHc4f7Q=")</f>
        <v>#REF!</v>
      </c>
      <c r="FZ26" t="e">
        <f>AND(#REF!,"AAAAAHc4f7U=")</f>
        <v>#REF!</v>
      </c>
      <c r="GA26" t="e">
        <f>AND(#REF!,"AAAAAHc4f7Y=")</f>
        <v>#REF!</v>
      </c>
      <c r="GB26" t="e">
        <f>AND(#REF!,"AAAAAHc4f7c=")</f>
        <v>#REF!</v>
      </c>
      <c r="GC26" t="e">
        <f>AND(#REF!,"AAAAAHc4f7g=")</f>
        <v>#REF!</v>
      </c>
      <c r="GD26" t="e">
        <f>AND(#REF!,"AAAAAHc4f7k=")</f>
        <v>#REF!</v>
      </c>
      <c r="GE26" t="e">
        <f>AND(#REF!,"AAAAAHc4f7o=")</f>
        <v>#REF!</v>
      </c>
      <c r="GF26" t="e">
        <f>AND(#REF!,"AAAAAHc4f7s=")</f>
        <v>#REF!</v>
      </c>
      <c r="GG26" t="e">
        <f>AND(#REF!,"AAAAAHc4f7w=")</f>
        <v>#REF!</v>
      </c>
      <c r="GH26" t="e">
        <f>AND(#REF!,"AAAAAHc4f70=")</f>
        <v>#REF!</v>
      </c>
      <c r="GI26" t="e">
        <f>AND(#REF!,"AAAAAHc4f74=")</f>
        <v>#REF!</v>
      </c>
      <c r="GJ26" t="e">
        <f>AND(#REF!,"AAAAAHc4f78=")</f>
        <v>#REF!</v>
      </c>
      <c r="GK26" t="e">
        <f>AND(#REF!,"AAAAAHc4f8A=")</f>
        <v>#REF!</v>
      </c>
      <c r="GL26" t="e">
        <f>AND(#REF!,"AAAAAHc4f8E=")</f>
        <v>#REF!</v>
      </c>
      <c r="GM26" t="e">
        <f>AND(#REF!,"AAAAAHc4f8I=")</f>
        <v>#REF!</v>
      </c>
      <c r="GN26" t="e">
        <f>AND(#REF!,"AAAAAHc4f8M=")</f>
        <v>#REF!</v>
      </c>
      <c r="GO26" t="e">
        <f>AND(#REF!,"AAAAAHc4f8Q=")</f>
        <v>#REF!</v>
      </c>
      <c r="GP26" t="e">
        <f>AND(#REF!,"AAAAAHc4f8U=")</f>
        <v>#REF!</v>
      </c>
      <c r="GQ26" t="e">
        <f>IF(#REF!,"AAAAAHc4f8Y=",0)</f>
        <v>#REF!</v>
      </c>
      <c r="GR26" t="e">
        <f>AND(#REF!,"AAAAAHc4f8c=")</f>
        <v>#REF!</v>
      </c>
      <c r="GS26" t="e">
        <f>AND(#REF!,"AAAAAHc4f8g=")</f>
        <v>#REF!</v>
      </c>
      <c r="GT26" t="e">
        <f>AND(#REF!,"AAAAAHc4f8k=")</f>
        <v>#REF!</v>
      </c>
      <c r="GU26" t="e">
        <f>AND(#REF!,"AAAAAHc4f8o=")</f>
        <v>#REF!</v>
      </c>
      <c r="GV26" t="e">
        <f>AND(#REF!,"AAAAAHc4f8s=")</f>
        <v>#REF!</v>
      </c>
      <c r="GW26" t="e">
        <f>AND(#REF!,"AAAAAHc4f8w=")</f>
        <v>#REF!</v>
      </c>
      <c r="GX26" t="e">
        <f>AND(#REF!,"AAAAAHc4f80=")</f>
        <v>#REF!</v>
      </c>
      <c r="GY26" t="e">
        <f>AND(#REF!,"AAAAAHc4f84=")</f>
        <v>#REF!</v>
      </c>
      <c r="GZ26" t="e">
        <f>AND(#REF!,"AAAAAHc4f88=")</f>
        <v>#REF!</v>
      </c>
      <c r="HA26" t="e">
        <f>AND(#REF!,"AAAAAHc4f9A=")</f>
        <v>#REF!</v>
      </c>
      <c r="HB26" t="e">
        <f>AND(#REF!,"AAAAAHc4f9E=")</f>
        <v>#REF!</v>
      </c>
      <c r="HC26" t="e">
        <f>AND(#REF!,"AAAAAHc4f9I=")</f>
        <v>#REF!</v>
      </c>
      <c r="HD26" t="e">
        <f>AND(#REF!,"AAAAAHc4f9M=")</f>
        <v>#REF!</v>
      </c>
      <c r="HE26" t="e">
        <f>AND(#REF!,"AAAAAHc4f9Q=")</f>
        <v>#REF!</v>
      </c>
      <c r="HF26" t="e">
        <f>AND(#REF!,"AAAAAHc4f9U=")</f>
        <v>#REF!</v>
      </c>
      <c r="HG26" t="e">
        <f>AND(#REF!,"AAAAAHc4f9Y=")</f>
        <v>#REF!</v>
      </c>
      <c r="HH26" t="e">
        <f>AND(#REF!,"AAAAAHc4f9c=")</f>
        <v>#REF!</v>
      </c>
      <c r="HI26" t="e">
        <f>AND(#REF!,"AAAAAHc4f9g=")</f>
        <v>#REF!</v>
      </c>
      <c r="HJ26" t="e">
        <f>AND(#REF!,"AAAAAHc4f9k=")</f>
        <v>#REF!</v>
      </c>
      <c r="HK26" t="e">
        <f>AND(#REF!,"AAAAAHc4f9o=")</f>
        <v>#REF!</v>
      </c>
      <c r="HL26" t="e">
        <f>AND(#REF!,"AAAAAHc4f9s=")</f>
        <v>#REF!</v>
      </c>
      <c r="HM26" t="e">
        <f>AND(#REF!,"AAAAAHc4f9w=")</f>
        <v>#REF!</v>
      </c>
      <c r="HN26" t="e">
        <f>AND(#REF!,"AAAAAHc4f90=")</f>
        <v>#REF!</v>
      </c>
      <c r="HO26" t="e">
        <f>IF(#REF!,"AAAAAHc4f94=",0)</f>
        <v>#REF!</v>
      </c>
      <c r="HP26" t="e">
        <f>AND(#REF!,"AAAAAHc4f98=")</f>
        <v>#REF!</v>
      </c>
      <c r="HQ26" t="e">
        <f>AND(#REF!,"AAAAAHc4f+A=")</f>
        <v>#REF!</v>
      </c>
      <c r="HR26" t="e">
        <f>AND(#REF!,"AAAAAHc4f+E=")</f>
        <v>#REF!</v>
      </c>
      <c r="HS26" t="e">
        <f>AND(#REF!,"AAAAAHc4f+I=")</f>
        <v>#REF!</v>
      </c>
      <c r="HT26" t="e">
        <f>AND(#REF!,"AAAAAHc4f+M=")</f>
        <v>#REF!</v>
      </c>
      <c r="HU26" t="e">
        <f>AND(#REF!,"AAAAAHc4f+Q=")</f>
        <v>#REF!</v>
      </c>
      <c r="HV26" t="e">
        <f>AND(#REF!,"AAAAAHc4f+U=")</f>
        <v>#REF!</v>
      </c>
      <c r="HW26" t="e">
        <f>AND(#REF!,"AAAAAHc4f+Y=")</f>
        <v>#REF!</v>
      </c>
      <c r="HX26" t="e">
        <f>AND(#REF!,"AAAAAHc4f+c=")</f>
        <v>#REF!</v>
      </c>
      <c r="HY26" t="e">
        <f>AND(#REF!,"AAAAAHc4f+g=")</f>
        <v>#REF!</v>
      </c>
      <c r="HZ26" t="e">
        <f>AND(#REF!,"AAAAAHc4f+k=")</f>
        <v>#REF!</v>
      </c>
      <c r="IA26" t="e">
        <f>AND(#REF!,"AAAAAHc4f+o=")</f>
        <v>#REF!</v>
      </c>
      <c r="IB26" t="e">
        <f>AND(#REF!,"AAAAAHc4f+s=")</f>
        <v>#REF!</v>
      </c>
      <c r="IC26" t="e">
        <f>AND(#REF!,"AAAAAHc4f+w=")</f>
        <v>#REF!</v>
      </c>
      <c r="ID26" t="e">
        <f>AND(#REF!,"AAAAAHc4f+0=")</f>
        <v>#REF!</v>
      </c>
      <c r="IE26" t="e">
        <f>AND(#REF!,"AAAAAHc4f+4=")</f>
        <v>#REF!</v>
      </c>
      <c r="IF26" t="e">
        <f>AND(#REF!,"AAAAAHc4f+8=")</f>
        <v>#REF!</v>
      </c>
      <c r="IG26" t="e">
        <f>AND(#REF!,"AAAAAHc4f/A=")</f>
        <v>#REF!</v>
      </c>
      <c r="IH26" t="e">
        <f>AND(#REF!,"AAAAAHc4f/E=")</f>
        <v>#REF!</v>
      </c>
      <c r="II26" t="e">
        <f>AND(#REF!,"AAAAAHc4f/I=")</f>
        <v>#REF!</v>
      </c>
      <c r="IJ26" t="e">
        <f>AND(#REF!,"AAAAAHc4f/M=")</f>
        <v>#REF!</v>
      </c>
      <c r="IK26" t="e">
        <f>AND(#REF!,"AAAAAHc4f/Q=")</f>
        <v>#REF!</v>
      </c>
      <c r="IL26" t="e">
        <f>AND(#REF!,"AAAAAHc4f/U=")</f>
        <v>#REF!</v>
      </c>
      <c r="IM26" t="e">
        <f>IF(#REF!,"AAAAAHc4f/Y=",0)</f>
        <v>#REF!</v>
      </c>
      <c r="IN26" t="e">
        <f>AND(#REF!,"AAAAAHc4f/c=")</f>
        <v>#REF!</v>
      </c>
      <c r="IO26" t="e">
        <f>AND(#REF!,"AAAAAHc4f/g=")</f>
        <v>#REF!</v>
      </c>
      <c r="IP26" t="e">
        <f>AND(#REF!,"AAAAAHc4f/k=")</f>
        <v>#REF!</v>
      </c>
      <c r="IQ26" t="e">
        <f>AND(#REF!,"AAAAAHc4f/o=")</f>
        <v>#REF!</v>
      </c>
      <c r="IR26" t="e">
        <f>AND(#REF!,"AAAAAHc4f/s=")</f>
        <v>#REF!</v>
      </c>
      <c r="IS26" t="e">
        <f>AND(#REF!,"AAAAAHc4f/w=")</f>
        <v>#REF!</v>
      </c>
      <c r="IT26" t="e">
        <f>AND(#REF!,"AAAAAHc4f/0=")</f>
        <v>#REF!</v>
      </c>
      <c r="IU26" t="e">
        <f>AND(#REF!,"AAAAAHc4f/4=")</f>
        <v>#REF!</v>
      </c>
      <c r="IV26" t="e">
        <f>AND(#REF!,"AAAAAHc4f/8=")</f>
        <v>#REF!</v>
      </c>
    </row>
    <row r="27" spans="1:256" x14ac:dyDescent="0.25">
      <c r="A27" t="e">
        <f>AND(#REF!,"AAAAAF7O7wA=")</f>
        <v>#REF!</v>
      </c>
      <c r="B27" t="e">
        <f>AND(#REF!,"AAAAAF7O7wE=")</f>
        <v>#REF!</v>
      </c>
      <c r="C27" t="e">
        <f>AND(#REF!,"AAAAAF7O7wI=")</f>
        <v>#REF!</v>
      </c>
      <c r="D27" t="e">
        <f>AND(#REF!,"AAAAAF7O7wM=")</f>
        <v>#REF!</v>
      </c>
      <c r="E27" t="e">
        <f>AND(#REF!,"AAAAAF7O7wQ=")</f>
        <v>#REF!</v>
      </c>
      <c r="F27" t="e">
        <f>AND(#REF!,"AAAAAF7O7wU=")</f>
        <v>#REF!</v>
      </c>
      <c r="G27" t="e">
        <f>AND(#REF!,"AAAAAF7O7wY=")</f>
        <v>#REF!</v>
      </c>
      <c r="H27" t="e">
        <f>AND(#REF!,"AAAAAF7O7wc=")</f>
        <v>#REF!</v>
      </c>
      <c r="I27" t="e">
        <f>AND(#REF!,"AAAAAF7O7wg=")</f>
        <v>#REF!</v>
      </c>
      <c r="J27" t="e">
        <f>AND(#REF!,"AAAAAF7O7wk=")</f>
        <v>#REF!</v>
      </c>
      <c r="K27" t="e">
        <f>AND(#REF!,"AAAAAF7O7wo=")</f>
        <v>#REF!</v>
      </c>
      <c r="L27" t="e">
        <f>AND(#REF!,"AAAAAF7O7ws=")</f>
        <v>#REF!</v>
      </c>
      <c r="M27" t="e">
        <f>AND(#REF!,"AAAAAF7O7ww=")</f>
        <v>#REF!</v>
      </c>
      <c r="N27" t="e">
        <f>AND(#REF!,"AAAAAF7O7w0=")</f>
        <v>#REF!</v>
      </c>
      <c r="O27" t="e">
        <f>IF(#REF!,"AAAAAF7O7w4=",0)</f>
        <v>#REF!</v>
      </c>
      <c r="P27" t="e">
        <f>AND(#REF!,"AAAAAF7O7w8=")</f>
        <v>#REF!</v>
      </c>
      <c r="Q27" t="e">
        <f>AND(#REF!,"AAAAAF7O7xA=")</f>
        <v>#REF!</v>
      </c>
      <c r="R27" t="e">
        <f>AND(#REF!,"AAAAAF7O7xE=")</f>
        <v>#REF!</v>
      </c>
      <c r="S27" t="e">
        <f>AND(#REF!,"AAAAAF7O7xI=")</f>
        <v>#REF!</v>
      </c>
      <c r="T27" t="e">
        <f>AND(#REF!,"AAAAAF7O7xM=")</f>
        <v>#REF!</v>
      </c>
      <c r="U27" t="e">
        <f>AND(#REF!,"AAAAAF7O7xQ=")</f>
        <v>#REF!</v>
      </c>
      <c r="V27" t="e">
        <f>AND(#REF!,"AAAAAF7O7xU=")</f>
        <v>#REF!</v>
      </c>
      <c r="W27" t="e">
        <f>AND(#REF!,"AAAAAF7O7xY=")</f>
        <v>#REF!</v>
      </c>
      <c r="X27" t="e">
        <f>AND(#REF!,"AAAAAF7O7xc=")</f>
        <v>#REF!</v>
      </c>
      <c r="Y27" t="e">
        <f>AND(#REF!,"AAAAAF7O7xg=")</f>
        <v>#REF!</v>
      </c>
      <c r="Z27" t="e">
        <f>AND(#REF!,"AAAAAF7O7xk=")</f>
        <v>#REF!</v>
      </c>
      <c r="AA27" t="e">
        <f>AND(#REF!,"AAAAAF7O7xo=")</f>
        <v>#REF!</v>
      </c>
      <c r="AB27" t="e">
        <f>AND(#REF!,"AAAAAF7O7xs=")</f>
        <v>#REF!</v>
      </c>
      <c r="AC27" t="e">
        <f>AND(#REF!,"AAAAAF7O7xw=")</f>
        <v>#REF!</v>
      </c>
      <c r="AD27" t="e">
        <f>AND(#REF!,"AAAAAF7O7x0=")</f>
        <v>#REF!</v>
      </c>
      <c r="AE27" t="e">
        <f>AND(#REF!,"AAAAAF7O7x4=")</f>
        <v>#REF!</v>
      </c>
      <c r="AF27" t="e">
        <f>AND(#REF!,"AAAAAF7O7x8=")</f>
        <v>#REF!</v>
      </c>
      <c r="AG27" t="e">
        <f>AND(#REF!,"AAAAAF7O7yA=")</f>
        <v>#REF!</v>
      </c>
      <c r="AH27" t="e">
        <f>AND(#REF!,"AAAAAF7O7yE=")</f>
        <v>#REF!</v>
      </c>
      <c r="AI27" t="e">
        <f>AND(#REF!,"AAAAAF7O7yI=")</f>
        <v>#REF!</v>
      </c>
      <c r="AJ27" t="e">
        <f>AND(#REF!,"AAAAAF7O7yM=")</f>
        <v>#REF!</v>
      </c>
      <c r="AK27" t="e">
        <f>AND(#REF!,"AAAAAF7O7yQ=")</f>
        <v>#REF!</v>
      </c>
      <c r="AL27" t="e">
        <f>AND(#REF!,"AAAAAF7O7yU=")</f>
        <v>#REF!</v>
      </c>
      <c r="AM27" t="e">
        <f>IF(#REF!,"AAAAAF7O7yY=",0)</f>
        <v>#REF!</v>
      </c>
      <c r="AN27" t="e">
        <f>AND(#REF!,"AAAAAF7O7yc=")</f>
        <v>#REF!</v>
      </c>
      <c r="AO27" t="e">
        <f>AND(#REF!,"AAAAAF7O7yg=")</f>
        <v>#REF!</v>
      </c>
      <c r="AP27" t="e">
        <f>AND(#REF!,"AAAAAF7O7yk=")</f>
        <v>#REF!</v>
      </c>
      <c r="AQ27" t="e">
        <f>AND(#REF!,"AAAAAF7O7yo=")</f>
        <v>#REF!</v>
      </c>
      <c r="AR27" t="e">
        <f>AND(#REF!,"AAAAAF7O7ys=")</f>
        <v>#REF!</v>
      </c>
      <c r="AS27" t="e">
        <f>AND(#REF!,"AAAAAF7O7yw=")</f>
        <v>#REF!</v>
      </c>
      <c r="AT27" t="e">
        <f>AND(#REF!,"AAAAAF7O7y0=")</f>
        <v>#REF!</v>
      </c>
      <c r="AU27" t="e">
        <f>AND(#REF!,"AAAAAF7O7y4=")</f>
        <v>#REF!</v>
      </c>
      <c r="AV27" t="e">
        <f>AND(#REF!,"AAAAAF7O7y8=")</f>
        <v>#REF!</v>
      </c>
      <c r="AW27" t="e">
        <f>AND(#REF!,"AAAAAF7O7zA=")</f>
        <v>#REF!</v>
      </c>
      <c r="AX27" t="e">
        <f>AND(#REF!,"AAAAAF7O7zE=")</f>
        <v>#REF!</v>
      </c>
      <c r="AY27" t="e">
        <f>AND(#REF!,"AAAAAF7O7zI=")</f>
        <v>#REF!</v>
      </c>
      <c r="AZ27" t="e">
        <f>AND(#REF!,"AAAAAF7O7zM=")</f>
        <v>#REF!</v>
      </c>
      <c r="BA27" t="e">
        <f>AND(#REF!,"AAAAAF7O7zQ=")</f>
        <v>#REF!</v>
      </c>
      <c r="BB27" t="e">
        <f>AND(#REF!,"AAAAAF7O7zU=")</f>
        <v>#REF!</v>
      </c>
      <c r="BC27" t="e">
        <f>AND(#REF!,"AAAAAF7O7zY=")</f>
        <v>#REF!</v>
      </c>
      <c r="BD27" t="e">
        <f>AND(#REF!,"AAAAAF7O7zc=")</f>
        <v>#REF!</v>
      </c>
      <c r="BE27" t="e">
        <f>AND(#REF!,"AAAAAF7O7zg=")</f>
        <v>#REF!</v>
      </c>
      <c r="BF27" t="e">
        <f>AND(#REF!,"AAAAAF7O7zk=")</f>
        <v>#REF!</v>
      </c>
      <c r="BG27" t="e">
        <f>AND(#REF!,"AAAAAF7O7zo=")</f>
        <v>#REF!</v>
      </c>
      <c r="BH27" t="e">
        <f>AND(#REF!,"AAAAAF7O7zs=")</f>
        <v>#REF!</v>
      </c>
      <c r="BI27" t="e">
        <f>AND(#REF!,"AAAAAF7O7zw=")</f>
        <v>#REF!</v>
      </c>
      <c r="BJ27" t="e">
        <f>AND(#REF!,"AAAAAF7O7z0=")</f>
        <v>#REF!</v>
      </c>
      <c r="BK27" t="e">
        <f>IF(#REF!,"AAAAAF7O7z4=",0)</f>
        <v>#REF!</v>
      </c>
      <c r="BL27" t="e">
        <f>AND(#REF!,"AAAAAF7O7z8=")</f>
        <v>#REF!</v>
      </c>
      <c r="BM27" t="e">
        <f>AND(#REF!,"AAAAAF7O70A=")</f>
        <v>#REF!</v>
      </c>
      <c r="BN27" t="e">
        <f>AND(#REF!,"AAAAAF7O70E=")</f>
        <v>#REF!</v>
      </c>
      <c r="BO27" t="e">
        <f>AND(#REF!,"AAAAAF7O70I=")</f>
        <v>#REF!</v>
      </c>
      <c r="BP27" t="e">
        <f>AND(#REF!,"AAAAAF7O70M=")</f>
        <v>#REF!</v>
      </c>
      <c r="BQ27" t="e">
        <f>AND(#REF!,"AAAAAF7O70Q=")</f>
        <v>#REF!</v>
      </c>
      <c r="BR27" t="e">
        <f>AND(#REF!,"AAAAAF7O70U=")</f>
        <v>#REF!</v>
      </c>
      <c r="BS27" t="e">
        <f>AND(#REF!,"AAAAAF7O70Y=")</f>
        <v>#REF!</v>
      </c>
      <c r="BT27" t="e">
        <f>AND(#REF!,"AAAAAF7O70c=")</f>
        <v>#REF!</v>
      </c>
      <c r="BU27" t="e">
        <f>AND(#REF!,"AAAAAF7O70g=")</f>
        <v>#REF!</v>
      </c>
      <c r="BV27" t="e">
        <f>AND(#REF!,"AAAAAF7O70k=")</f>
        <v>#REF!</v>
      </c>
      <c r="BW27" t="e">
        <f>AND(#REF!,"AAAAAF7O70o=")</f>
        <v>#REF!</v>
      </c>
      <c r="BX27" t="e">
        <f>AND(#REF!,"AAAAAF7O70s=")</f>
        <v>#REF!</v>
      </c>
      <c r="BY27" t="e">
        <f>AND(#REF!,"AAAAAF7O70w=")</f>
        <v>#REF!</v>
      </c>
      <c r="BZ27" t="e">
        <f>AND(#REF!,"AAAAAF7O700=")</f>
        <v>#REF!</v>
      </c>
      <c r="CA27" t="e">
        <f>AND(#REF!,"AAAAAF7O704=")</f>
        <v>#REF!</v>
      </c>
      <c r="CB27" t="e">
        <f>AND(#REF!,"AAAAAF7O708=")</f>
        <v>#REF!</v>
      </c>
      <c r="CC27" t="e">
        <f>AND(#REF!,"AAAAAF7O71A=")</f>
        <v>#REF!</v>
      </c>
      <c r="CD27" t="e">
        <f>AND(#REF!,"AAAAAF7O71E=")</f>
        <v>#REF!</v>
      </c>
      <c r="CE27" t="e">
        <f>AND(#REF!,"AAAAAF7O71I=")</f>
        <v>#REF!</v>
      </c>
      <c r="CF27" t="e">
        <f>AND(#REF!,"AAAAAF7O71M=")</f>
        <v>#REF!</v>
      </c>
      <c r="CG27" t="e">
        <f>AND(#REF!,"AAAAAF7O71Q=")</f>
        <v>#REF!</v>
      </c>
      <c r="CH27" t="e">
        <f>AND(#REF!,"AAAAAF7O71U=")</f>
        <v>#REF!</v>
      </c>
      <c r="CI27" t="e">
        <f>IF(#REF!,"AAAAAF7O71Y=",0)</f>
        <v>#REF!</v>
      </c>
      <c r="CJ27" t="e">
        <f>AND(#REF!,"AAAAAF7O71c=")</f>
        <v>#REF!</v>
      </c>
      <c r="CK27" t="e">
        <f>AND(#REF!,"AAAAAF7O71g=")</f>
        <v>#REF!</v>
      </c>
      <c r="CL27" t="e">
        <f>AND(#REF!,"AAAAAF7O71k=")</f>
        <v>#REF!</v>
      </c>
      <c r="CM27" t="e">
        <f>AND(#REF!,"AAAAAF7O71o=")</f>
        <v>#REF!</v>
      </c>
      <c r="CN27" t="e">
        <f>AND(#REF!,"AAAAAF7O71s=")</f>
        <v>#REF!</v>
      </c>
      <c r="CO27" t="e">
        <f>AND(#REF!,"AAAAAF7O71w=")</f>
        <v>#REF!</v>
      </c>
      <c r="CP27" t="e">
        <f>AND(#REF!,"AAAAAF7O710=")</f>
        <v>#REF!</v>
      </c>
      <c r="CQ27" t="e">
        <f>AND(#REF!,"AAAAAF7O714=")</f>
        <v>#REF!</v>
      </c>
      <c r="CR27" t="e">
        <f>AND(#REF!,"AAAAAF7O718=")</f>
        <v>#REF!</v>
      </c>
      <c r="CS27" t="e">
        <f>AND(#REF!,"AAAAAF7O72A=")</f>
        <v>#REF!</v>
      </c>
      <c r="CT27" t="e">
        <f>AND(#REF!,"AAAAAF7O72E=")</f>
        <v>#REF!</v>
      </c>
      <c r="CU27" t="e">
        <f>AND(#REF!,"AAAAAF7O72I=")</f>
        <v>#REF!</v>
      </c>
      <c r="CV27" t="e">
        <f>AND(#REF!,"AAAAAF7O72M=")</f>
        <v>#REF!</v>
      </c>
      <c r="CW27" t="e">
        <f>AND(#REF!,"AAAAAF7O72Q=")</f>
        <v>#REF!</v>
      </c>
      <c r="CX27" t="e">
        <f>AND(#REF!,"AAAAAF7O72U=")</f>
        <v>#REF!</v>
      </c>
      <c r="CY27" t="e">
        <f>AND(#REF!,"AAAAAF7O72Y=")</f>
        <v>#REF!</v>
      </c>
      <c r="CZ27" t="e">
        <f>AND(#REF!,"AAAAAF7O72c=")</f>
        <v>#REF!</v>
      </c>
      <c r="DA27" t="e">
        <f>AND(#REF!,"AAAAAF7O72g=")</f>
        <v>#REF!</v>
      </c>
      <c r="DB27" t="e">
        <f>AND(#REF!,"AAAAAF7O72k=")</f>
        <v>#REF!</v>
      </c>
      <c r="DC27" t="e">
        <f>AND(#REF!,"AAAAAF7O72o=")</f>
        <v>#REF!</v>
      </c>
      <c r="DD27" t="e">
        <f>AND(#REF!,"AAAAAF7O72s=")</f>
        <v>#REF!</v>
      </c>
      <c r="DE27" t="e">
        <f>AND(#REF!,"AAAAAF7O72w=")</f>
        <v>#REF!</v>
      </c>
      <c r="DF27" t="e">
        <f>AND(#REF!,"AAAAAF7O720=")</f>
        <v>#REF!</v>
      </c>
      <c r="DG27" t="e">
        <f>IF(#REF!,"AAAAAF7O724=",0)</f>
        <v>#REF!</v>
      </c>
      <c r="DH27" t="e">
        <f>AND(#REF!,"AAAAAF7O728=")</f>
        <v>#REF!</v>
      </c>
      <c r="DI27" t="e">
        <f>AND(#REF!,"AAAAAF7O73A=")</f>
        <v>#REF!</v>
      </c>
      <c r="DJ27" t="e">
        <f>AND(#REF!,"AAAAAF7O73E=")</f>
        <v>#REF!</v>
      </c>
      <c r="DK27" t="e">
        <f>AND(#REF!,"AAAAAF7O73I=")</f>
        <v>#REF!</v>
      </c>
      <c r="DL27" t="e">
        <f>AND(#REF!,"AAAAAF7O73M=")</f>
        <v>#REF!</v>
      </c>
      <c r="DM27" t="e">
        <f>AND(#REF!,"AAAAAF7O73Q=")</f>
        <v>#REF!</v>
      </c>
      <c r="DN27" t="e">
        <f>AND(#REF!,"AAAAAF7O73U=")</f>
        <v>#REF!</v>
      </c>
      <c r="DO27" t="e">
        <f>AND(#REF!,"AAAAAF7O73Y=")</f>
        <v>#REF!</v>
      </c>
      <c r="DP27" t="e">
        <f>AND(#REF!,"AAAAAF7O73c=")</f>
        <v>#REF!</v>
      </c>
      <c r="DQ27" t="e">
        <f>AND(#REF!,"AAAAAF7O73g=")</f>
        <v>#REF!</v>
      </c>
      <c r="DR27" t="e">
        <f>AND(#REF!,"AAAAAF7O73k=")</f>
        <v>#REF!</v>
      </c>
      <c r="DS27" t="e">
        <f>AND(#REF!,"AAAAAF7O73o=")</f>
        <v>#REF!</v>
      </c>
      <c r="DT27" t="e">
        <f>AND(#REF!,"AAAAAF7O73s=")</f>
        <v>#REF!</v>
      </c>
      <c r="DU27" t="e">
        <f>AND(#REF!,"AAAAAF7O73w=")</f>
        <v>#REF!</v>
      </c>
      <c r="DV27" t="e">
        <f>AND(#REF!,"AAAAAF7O730=")</f>
        <v>#REF!</v>
      </c>
      <c r="DW27" t="e">
        <f>AND(#REF!,"AAAAAF7O734=")</f>
        <v>#REF!</v>
      </c>
      <c r="DX27" t="e">
        <f>AND(#REF!,"AAAAAF7O738=")</f>
        <v>#REF!</v>
      </c>
      <c r="DY27" t="e">
        <f>AND(#REF!,"AAAAAF7O74A=")</f>
        <v>#REF!</v>
      </c>
      <c r="DZ27" t="e">
        <f>AND(#REF!,"AAAAAF7O74E=")</f>
        <v>#REF!</v>
      </c>
      <c r="EA27" t="e">
        <f>AND(#REF!,"AAAAAF7O74I=")</f>
        <v>#REF!</v>
      </c>
      <c r="EB27" t="e">
        <f>AND(#REF!,"AAAAAF7O74M=")</f>
        <v>#REF!</v>
      </c>
      <c r="EC27" t="e">
        <f>AND(#REF!,"AAAAAF7O74Q=")</f>
        <v>#REF!</v>
      </c>
      <c r="ED27" t="e">
        <f>AND(#REF!,"AAAAAF7O74U=")</f>
        <v>#REF!</v>
      </c>
      <c r="EE27" t="e">
        <f>IF(#REF!,"AAAAAF7O74Y=",0)</f>
        <v>#REF!</v>
      </c>
      <c r="EF27" t="e">
        <f>AND(#REF!,"AAAAAF7O74c=")</f>
        <v>#REF!</v>
      </c>
      <c r="EG27" t="e">
        <f>AND(#REF!,"AAAAAF7O74g=")</f>
        <v>#REF!</v>
      </c>
      <c r="EH27" t="e">
        <f>AND(#REF!,"AAAAAF7O74k=")</f>
        <v>#REF!</v>
      </c>
      <c r="EI27" t="e">
        <f>AND(#REF!,"AAAAAF7O74o=")</f>
        <v>#REF!</v>
      </c>
      <c r="EJ27" t="e">
        <f>AND(#REF!,"AAAAAF7O74s=")</f>
        <v>#REF!</v>
      </c>
      <c r="EK27" t="e">
        <f>AND(#REF!,"AAAAAF7O74w=")</f>
        <v>#REF!</v>
      </c>
      <c r="EL27" t="e">
        <f>AND(#REF!,"AAAAAF7O740=")</f>
        <v>#REF!</v>
      </c>
      <c r="EM27" t="e">
        <f>AND(#REF!,"AAAAAF7O744=")</f>
        <v>#REF!</v>
      </c>
      <c r="EN27" t="e">
        <f>AND(#REF!,"AAAAAF7O748=")</f>
        <v>#REF!</v>
      </c>
      <c r="EO27" t="e">
        <f>AND(#REF!,"AAAAAF7O75A=")</f>
        <v>#REF!</v>
      </c>
      <c r="EP27" t="e">
        <f>AND(#REF!,"AAAAAF7O75E=")</f>
        <v>#REF!</v>
      </c>
      <c r="EQ27" t="e">
        <f>AND(#REF!,"AAAAAF7O75I=")</f>
        <v>#REF!</v>
      </c>
      <c r="ER27" t="e">
        <f>AND(#REF!,"AAAAAF7O75M=")</f>
        <v>#REF!</v>
      </c>
      <c r="ES27" t="e">
        <f>AND(#REF!,"AAAAAF7O75Q=")</f>
        <v>#REF!</v>
      </c>
      <c r="ET27" t="e">
        <f>AND(#REF!,"AAAAAF7O75U=")</f>
        <v>#REF!</v>
      </c>
      <c r="EU27" t="e">
        <f>AND(#REF!,"AAAAAF7O75Y=")</f>
        <v>#REF!</v>
      </c>
      <c r="EV27" t="e">
        <f>AND(#REF!,"AAAAAF7O75c=")</f>
        <v>#REF!</v>
      </c>
      <c r="EW27" t="e">
        <f>AND(#REF!,"AAAAAF7O75g=")</f>
        <v>#REF!</v>
      </c>
      <c r="EX27" t="e">
        <f>AND(#REF!,"AAAAAF7O75k=")</f>
        <v>#REF!</v>
      </c>
      <c r="EY27" t="e">
        <f>AND(#REF!,"AAAAAF7O75o=")</f>
        <v>#REF!</v>
      </c>
      <c r="EZ27" t="e">
        <f>AND(#REF!,"AAAAAF7O75s=")</f>
        <v>#REF!</v>
      </c>
      <c r="FA27" t="e">
        <f>AND(#REF!,"AAAAAF7O75w=")</f>
        <v>#REF!</v>
      </c>
      <c r="FB27" t="e">
        <f>AND(#REF!,"AAAAAF7O750=")</f>
        <v>#REF!</v>
      </c>
      <c r="FC27" t="e">
        <f>IF(#REF!,"AAAAAF7O754=",0)</f>
        <v>#REF!</v>
      </c>
      <c r="FD27" t="e">
        <f>AND(#REF!,"AAAAAF7O758=")</f>
        <v>#REF!</v>
      </c>
      <c r="FE27" t="e">
        <f>AND(#REF!,"AAAAAF7O76A=")</f>
        <v>#REF!</v>
      </c>
      <c r="FF27" t="e">
        <f>AND(#REF!,"AAAAAF7O76E=")</f>
        <v>#REF!</v>
      </c>
      <c r="FG27" t="e">
        <f>AND(#REF!,"AAAAAF7O76I=")</f>
        <v>#REF!</v>
      </c>
      <c r="FH27" t="e">
        <f>AND(#REF!,"AAAAAF7O76M=")</f>
        <v>#REF!</v>
      </c>
      <c r="FI27" t="e">
        <f>AND(#REF!,"AAAAAF7O76Q=")</f>
        <v>#REF!</v>
      </c>
      <c r="FJ27" t="e">
        <f>AND(#REF!,"AAAAAF7O76U=")</f>
        <v>#REF!</v>
      </c>
      <c r="FK27" t="e">
        <f>AND(#REF!,"AAAAAF7O76Y=")</f>
        <v>#REF!</v>
      </c>
      <c r="FL27" t="e">
        <f>AND(#REF!,"AAAAAF7O76c=")</f>
        <v>#REF!</v>
      </c>
      <c r="FM27" t="e">
        <f>AND(#REF!,"AAAAAF7O76g=")</f>
        <v>#REF!</v>
      </c>
      <c r="FN27" t="e">
        <f>AND(#REF!,"AAAAAF7O76k=")</f>
        <v>#REF!</v>
      </c>
      <c r="FO27" t="e">
        <f>AND(#REF!,"AAAAAF7O76o=")</f>
        <v>#REF!</v>
      </c>
      <c r="FP27" t="e">
        <f>AND(#REF!,"AAAAAF7O76s=")</f>
        <v>#REF!</v>
      </c>
      <c r="FQ27" t="e">
        <f>AND(#REF!,"AAAAAF7O76w=")</f>
        <v>#REF!</v>
      </c>
      <c r="FR27" t="e">
        <f>AND(#REF!,"AAAAAF7O760=")</f>
        <v>#REF!</v>
      </c>
      <c r="FS27" t="e">
        <f>AND(#REF!,"AAAAAF7O764=")</f>
        <v>#REF!</v>
      </c>
      <c r="FT27" t="e">
        <f>AND(#REF!,"AAAAAF7O768=")</f>
        <v>#REF!</v>
      </c>
      <c r="FU27" t="e">
        <f>AND(#REF!,"AAAAAF7O77A=")</f>
        <v>#REF!</v>
      </c>
      <c r="FV27" t="e">
        <f>AND(#REF!,"AAAAAF7O77E=")</f>
        <v>#REF!</v>
      </c>
      <c r="FW27" t="e">
        <f>AND(#REF!,"AAAAAF7O77I=")</f>
        <v>#REF!</v>
      </c>
      <c r="FX27" t="e">
        <f>AND(#REF!,"AAAAAF7O77M=")</f>
        <v>#REF!</v>
      </c>
      <c r="FY27" t="e">
        <f>AND(#REF!,"AAAAAF7O77Q=")</f>
        <v>#REF!</v>
      </c>
      <c r="FZ27" t="e">
        <f>AND(#REF!,"AAAAAF7O77U=")</f>
        <v>#REF!</v>
      </c>
      <c r="GA27" t="e">
        <f>IF(#REF!,"AAAAAF7O77Y=",0)</f>
        <v>#REF!</v>
      </c>
      <c r="GB27" t="e">
        <f>AND(#REF!,"AAAAAF7O77c=")</f>
        <v>#REF!</v>
      </c>
      <c r="GC27" t="e">
        <f>AND(#REF!,"AAAAAF7O77g=")</f>
        <v>#REF!</v>
      </c>
      <c r="GD27" t="e">
        <f>AND(#REF!,"AAAAAF7O77k=")</f>
        <v>#REF!</v>
      </c>
      <c r="GE27" t="e">
        <f>AND(#REF!,"AAAAAF7O77o=")</f>
        <v>#REF!</v>
      </c>
      <c r="GF27" t="e">
        <f>AND(#REF!,"AAAAAF7O77s=")</f>
        <v>#REF!</v>
      </c>
      <c r="GG27" t="e">
        <f>AND(#REF!,"AAAAAF7O77w=")</f>
        <v>#REF!</v>
      </c>
      <c r="GH27" t="e">
        <f>AND(#REF!,"AAAAAF7O770=")</f>
        <v>#REF!</v>
      </c>
      <c r="GI27" t="e">
        <f>AND(#REF!,"AAAAAF7O774=")</f>
        <v>#REF!</v>
      </c>
      <c r="GJ27" t="e">
        <f>AND(#REF!,"AAAAAF7O778=")</f>
        <v>#REF!</v>
      </c>
      <c r="GK27" t="e">
        <f>AND(#REF!,"AAAAAF7O78A=")</f>
        <v>#REF!</v>
      </c>
      <c r="GL27" t="e">
        <f>AND(#REF!,"AAAAAF7O78E=")</f>
        <v>#REF!</v>
      </c>
      <c r="GM27" t="e">
        <f>AND(#REF!,"AAAAAF7O78I=")</f>
        <v>#REF!</v>
      </c>
      <c r="GN27" t="e">
        <f>AND(#REF!,"AAAAAF7O78M=")</f>
        <v>#REF!</v>
      </c>
      <c r="GO27" t="e">
        <f>AND(#REF!,"AAAAAF7O78Q=")</f>
        <v>#REF!</v>
      </c>
      <c r="GP27" t="e">
        <f>AND(#REF!,"AAAAAF7O78U=")</f>
        <v>#REF!</v>
      </c>
      <c r="GQ27" t="e">
        <f>AND(#REF!,"AAAAAF7O78Y=")</f>
        <v>#REF!</v>
      </c>
      <c r="GR27" t="e">
        <f>AND(#REF!,"AAAAAF7O78c=")</f>
        <v>#REF!</v>
      </c>
      <c r="GS27" t="e">
        <f>AND(#REF!,"AAAAAF7O78g=")</f>
        <v>#REF!</v>
      </c>
      <c r="GT27" t="e">
        <f>AND(#REF!,"AAAAAF7O78k=")</f>
        <v>#REF!</v>
      </c>
      <c r="GU27" t="e">
        <f>AND(#REF!,"AAAAAF7O78o=")</f>
        <v>#REF!</v>
      </c>
      <c r="GV27" t="e">
        <f>AND(#REF!,"AAAAAF7O78s=")</f>
        <v>#REF!</v>
      </c>
      <c r="GW27" t="e">
        <f>AND(#REF!,"AAAAAF7O78w=")</f>
        <v>#REF!</v>
      </c>
      <c r="GX27" t="e">
        <f>AND(#REF!,"AAAAAF7O780=")</f>
        <v>#REF!</v>
      </c>
      <c r="GY27" t="e">
        <f>IF(#REF!,"AAAAAF7O784=",0)</f>
        <v>#REF!</v>
      </c>
      <c r="GZ27" t="e">
        <f>AND(#REF!,"AAAAAF7O788=")</f>
        <v>#REF!</v>
      </c>
      <c r="HA27" t="e">
        <f>AND(#REF!,"AAAAAF7O79A=")</f>
        <v>#REF!</v>
      </c>
      <c r="HB27" t="e">
        <f>AND(#REF!,"AAAAAF7O79E=")</f>
        <v>#REF!</v>
      </c>
      <c r="HC27" t="e">
        <f>AND(#REF!,"AAAAAF7O79I=")</f>
        <v>#REF!</v>
      </c>
      <c r="HD27" t="e">
        <f>AND(#REF!,"AAAAAF7O79M=")</f>
        <v>#REF!</v>
      </c>
      <c r="HE27" t="e">
        <f>AND(#REF!,"AAAAAF7O79Q=")</f>
        <v>#REF!</v>
      </c>
      <c r="HF27" t="e">
        <f>AND(#REF!,"AAAAAF7O79U=")</f>
        <v>#REF!</v>
      </c>
      <c r="HG27" t="e">
        <f>AND(#REF!,"AAAAAF7O79Y=")</f>
        <v>#REF!</v>
      </c>
      <c r="HH27" t="e">
        <f>AND(#REF!,"AAAAAF7O79c=")</f>
        <v>#REF!</v>
      </c>
      <c r="HI27" t="e">
        <f>AND(#REF!,"AAAAAF7O79g=")</f>
        <v>#REF!</v>
      </c>
      <c r="HJ27" t="e">
        <f>AND(#REF!,"AAAAAF7O79k=")</f>
        <v>#REF!</v>
      </c>
      <c r="HK27" t="e">
        <f>AND(#REF!,"AAAAAF7O79o=")</f>
        <v>#REF!</v>
      </c>
      <c r="HL27" t="e">
        <f>AND(#REF!,"AAAAAF7O79s=")</f>
        <v>#REF!</v>
      </c>
      <c r="HM27" t="e">
        <f>AND(#REF!,"AAAAAF7O79w=")</f>
        <v>#REF!</v>
      </c>
      <c r="HN27" t="e">
        <f>AND(#REF!,"AAAAAF7O790=")</f>
        <v>#REF!</v>
      </c>
      <c r="HO27" t="e">
        <f>AND(#REF!,"AAAAAF7O794=")</f>
        <v>#REF!</v>
      </c>
      <c r="HP27" t="e">
        <f>AND(#REF!,"AAAAAF7O798=")</f>
        <v>#REF!</v>
      </c>
      <c r="HQ27" t="e">
        <f>AND(#REF!,"AAAAAF7O7+A=")</f>
        <v>#REF!</v>
      </c>
      <c r="HR27" t="e">
        <f>AND(#REF!,"AAAAAF7O7+E=")</f>
        <v>#REF!</v>
      </c>
      <c r="HS27" t="e">
        <f>AND(#REF!,"AAAAAF7O7+I=")</f>
        <v>#REF!</v>
      </c>
      <c r="HT27" t="e">
        <f>AND(#REF!,"AAAAAF7O7+M=")</f>
        <v>#REF!</v>
      </c>
      <c r="HU27" t="e">
        <f>AND(#REF!,"AAAAAF7O7+Q=")</f>
        <v>#REF!</v>
      </c>
      <c r="HV27" t="e">
        <f>AND(#REF!,"AAAAAF7O7+U=")</f>
        <v>#REF!</v>
      </c>
      <c r="HW27" t="e">
        <f>IF(#REF!,"AAAAAF7O7+Y=",0)</f>
        <v>#REF!</v>
      </c>
      <c r="HX27" t="e">
        <f>AND(#REF!,"AAAAAF7O7+c=")</f>
        <v>#REF!</v>
      </c>
      <c r="HY27" t="e">
        <f>AND(#REF!,"AAAAAF7O7+g=")</f>
        <v>#REF!</v>
      </c>
      <c r="HZ27" t="e">
        <f>AND(#REF!,"AAAAAF7O7+k=")</f>
        <v>#REF!</v>
      </c>
      <c r="IA27" t="e">
        <f>AND(#REF!,"AAAAAF7O7+o=")</f>
        <v>#REF!</v>
      </c>
      <c r="IB27" t="e">
        <f>AND(#REF!,"AAAAAF7O7+s=")</f>
        <v>#REF!</v>
      </c>
      <c r="IC27" t="e">
        <f>AND(#REF!,"AAAAAF7O7+w=")</f>
        <v>#REF!</v>
      </c>
      <c r="ID27" t="e">
        <f>AND(#REF!,"AAAAAF7O7+0=")</f>
        <v>#REF!</v>
      </c>
      <c r="IE27" t="e">
        <f>AND(#REF!,"AAAAAF7O7+4=")</f>
        <v>#REF!</v>
      </c>
      <c r="IF27" t="e">
        <f>AND(#REF!,"AAAAAF7O7+8=")</f>
        <v>#REF!</v>
      </c>
      <c r="IG27" t="e">
        <f>AND(#REF!,"AAAAAF7O7/A=")</f>
        <v>#REF!</v>
      </c>
      <c r="IH27" t="e">
        <f>AND(#REF!,"AAAAAF7O7/E=")</f>
        <v>#REF!</v>
      </c>
      <c r="II27" t="e">
        <f>AND(#REF!,"AAAAAF7O7/I=")</f>
        <v>#REF!</v>
      </c>
      <c r="IJ27" t="e">
        <f>AND(#REF!,"AAAAAF7O7/M=")</f>
        <v>#REF!</v>
      </c>
      <c r="IK27" t="e">
        <f>AND(#REF!,"AAAAAF7O7/Q=")</f>
        <v>#REF!</v>
      </c>
      <c r="IL27" t="e">
        <f>AND(#REF!,"AAAAAF7O7/U=")</f>
        <v>#REF!</v>
      </c>
      <c r="IM27" t="e">
        <f>AND(#REF!,"AAAAAF7O7/Y=")</f>
        <v>#REF!</v>
      </c>
      <c r="IN27" t="e">
        <f>AND(#REF!,"AAAAAF7O7/c=")</f>
        <v>#REF!</v>
      </c>
      <c r="IO27" t="e">
        <f>AND(#REF!,"AAAAAF7O7/g=")</f>
        <v>#REF!</v>
      </c>
      <c r="IP27" t="e">
        <f>AND(#REF!,"AAAAAF7O7/k=")</f>
        <v>#REF!</v>
      </c>
      <c r="IQ27" t="e">
        <f>AND(#REF!,"AAAAAF7O7/o=")</f>
        <v>#REF!</v>
      </c>
      <c r="IR27" t="e">
        <f>AND(#REF!,"AAAAAF7O7/s=")</f>
        <v>#REF!</v>
      </c>
      <c r="IS27" t="e">
        <f>AND(#REF!,"AAAAAF7O7/w=")</f>
        <v>#REF!</v>
      </c>
      <c r="IT27" t="e">
        <f>AND(#REF!,"AAAAAF7O7/0=")</f>
        <v>#REF!</v>
      </c>
      <c r="IU27" t="e">
        <f>IF(#REF!,"AAAAAF7O7/4=",0)</f>
        <v>#REF!</v>
      </c>
      <c r="IV27" t="e">
        <f>AND(#REF!,"AAAAAF7O7/8=")</f>
        <v>#REF!</v>
      </c>
    </row>
    <row r="28" spans="1:256" x14ac:dyDescent="0.25">
      <c r="A28" t="e">
        <f>AND(#REF!,"AAAAAF+yvwA=")</f>
        <v>#REF!</v>
      </c>
      <c r="B28" t="e">
        <f>AND(#REF!,"AAAAAF+yvwE=")</f>
        <v>#REF!</v>
      </c>
      <c r="C28" t="e">
        <f>AND(#REF!,"AAAAAF+yvwI=")</f>
        <v>#REF!</v>
      </c>
      <c r="D28" t="e">
        <f>AND(#REF!,"AAAAAF+yvwM=")</f>
        <v>#REF!</v>
      </c>
      <c r="E28" t="e">
        <f>AND(#REF!,"AAAAAF+yvwQ=")</f>
        <v>#REF!</v>
      </c>
      <c r="F28" t="e">
        <f>AND(#REF!,"AAAAAF+yvwU=")</f>
        <v>#REF!</v>
      </c>
      <c r="G28" t="e">
        <f>AND(#REF!,"AAAAAF+yvwY=")</f>
        <v>#REF!</v>
      </c>
      <c r="H28" t="e">
        <f>AND(#REF!,"AAAAAF+yvwc=")</f>
        <v>#REF!</v>
      </c>
      <c r="I28" t="e">
        <f>AND(#REF!,"AAAAAF+yvwg=")</f>
        <v>#REF!</v>
      </c>
      <c r="J28" t="e">
        <f>AND(#REF!,"AAAAAF+yvwk=")</f>
        <v>#REF!</v>
      </c>
      <c r="K28" t="e">
        <f>AND(#REF!,"AAAAAF+yvwo=")</f>
        <v>#REF!</v>
      </c>
      <c r="L28" t="e">
        <f>AND(#REF!,"AAAAAF+yvws=")</f>
        <v>#REF!</v>
      </c>
      <c r="M28" t="e">
        <f>AND(#REF!,"AAAAAF+yvww=")</f>
        <v>#REF!</v>
      </c>
      <c r="N28" t="e">
        <f>AND(#REF!,"AAAAAF+yvw0=")</f>
        <v>#REF!</v>
      </c>
      <c r="O28" t="e">
        <f>AND(#REF!,"AAAAAF+yvw4=")</f>
        <v>#REF!</v>
      </c>
      <c r="P28" t="e">
        <f>AND(#REF!,"AAAAAF+yvw8=")</f>
        <v>#REF!</v>
      </c>
      <c r="Q28" t="e">
        <f>AND(#REF!,"AAAAAF+yvxA=")</f>
        <v>#REF!</v>
      </c>
      <c r="R28" t="e">
        <f>AND(#REF!,"AAAAAF+yvxE=")</f>
        <v>#REF!</v>
      </c>
      <c r="S28" t="e">
        <f>AND(#REF!,"AAAAAF+yvxI=")</f>
        <v>#REF!</v>
      </c>
      <c r="T28" t="e">
        <f>AND(#REF!,"AAAAAF+yvxM=")</f>
        <v>#REF!</v>
      </c>
      <c r="U28" t="e">
        <f>AND(#REF!,"AAAAAF+yvxQ=")</f>
        <v>#REF!</v>
      </c>
      <c r="V28" t="e">
        <f>AND(#REF!,"AAAAAF+yvxU=")</f>
        <v>#REF!</v>
      </c>
      <c r="W28" t="e">
        <f>IF(#REF!,"AAAAAF+yvxY=",0)</f>
        <v>#REF!</v>
      </c>
      <c r="X28" t="e">
        <f>AND(#REF!,"AAAAAF+yvxc=")</f>
        <v>#REF!</v>
      </c>
      <c r="Y28" t="e">
        <f>AND(#REF!,"AAAAAF+yvxg=")</f>
        <v>#REF!</v>
      </c>
      <c r="Z28" t="e">
        <f>AND(#REF!,"AAAAAF+yvxk=")</f>
        <v>#REF!</v>
      </c>
      <c r="AA28" t="e">
        <f>AND(#REF!,"AAAAAF+yvxo=")</f>
        <v>#REF!</v>
      </c>
      <c r="AB28" t="e">
        <f>AND(#REF!,"AAAAAF+yvxs=")</f>
        <v>#REF!</v>
      </c>
      <c r="AC28" t="e">
        <f>AND(#REF!,"AAAAAF+yvxw=")</f>
        <v>#REF!</v>
      </c>
      <c r="AD28" t="e">
        <f>AND(#REF!,"AAAAAF+yvx0=")</f>
        <v>#REF!</v>
      </c>
      <c r="AE28" t="e">
        <f>AND(#REF!,"AAAAAF+yvx4=")</f>
        <v>#REF!</v>
      </c>
      <c r="AF28" t="e">
        <f>AND(#REF!,"AAAAAF+yvx8=")</f>
        <v>#REF!</v>
      </c>
      <c r="AG28" t="e">
        <f>AND(#REF!,"AAAAAF+yvyA=")</f>
        <v>#REF!</v>
      </c>
      <c r="AH28" t="e">
        <f>AND(#REF!,"AAAAAF+yvyE=")</f>
        <v>#REF!</v>
      </c>
      <c r="AI28" t="e">
        <f>AND(#REF!,"AAAAAF+yvyI=")</f>
        <v>#REF!</v>
      </c>
      <c r="AJ28" t="e">
        <f>AND(#REF!,"AAAAAF+yvyM=")</f>
        <v>#REF!</v>
      </c>
      <c r="AK28" t="e">
        <f>AND(#REF!,"AAAAAF+yvyQ=")</f>
        <v>#REF!</v>
      </c>
      <c r="AL28" t="e">
        <f>AND(#REF!,"AAAAAF+yvyU=")</f>
        <v>#REF!</v>
      </c>
      <c r="AM28" t="e">
        <f>AND(#REF!,"AAAAAF+yvyY=")</f>
        <v>#REF!</v>
      </c>
      <c r="AN28" t="e">
        <f>AND(#REF!,"AAAAAF+yvyc=")</f>
        <v>#REF!</v>
      </c>
      <c r="AO28" t="e">
        <f>AND(#REF!,"AAAAAF+yvyg=")</f>
        <v>#REF!</v>
      </c>
      <c r="AP28" t="e">
        <f>AND(#REF!,"AAAAAF+yvyk=")</f>
        <v>#REF!</v>
      </c>
      <c r="AQ28" t="e">
        <f>AND(#REF!,"AAAAAF+yvyo=")</f>
        <v>#REF!</v>
      </c>
      <c r="AR28" t="e">
        <f>AND(#REF!,"AAAAAF+yvys=")</f>
        <v>#REF!</v>
      </c>
      <c r="AS28" t="e">
        <f>AND(#REF!,"AAAAAF+yvyw=")</f>
        <v>#REF!</v>
      </c>
      <c r="AT28" t="e">
        <f>AND(#REF!,"AAAAAF+yvy0=")</f>
        <v>#REF!</v>
      </c>
      <c r="AU28" t="e">
        <f>IF(#REF!,"AAAAAF+yvy4=",0)</f>
        <v>#REF!</v>
      </c>
      <c r="AV28" t="e">
        <f>AND(#REF!,"AAAAAF+yvy8=")</f>
        <v>#REF!</v>
      </c>
      <c r="AW28" t="e">
        <f>AND(#REF!,"AAAAAF+yvzA=")</f>
        <v>#REF!</v>
      </c>
      <c r="AX28" t="e">
        <f>AND(#REF!,"AAAAAF+yvzE=")</f>
        <v>#REF!</v>
      </c>
      <c r="AY28" t="e">
        <f>AND(#REF!,"AAAAAF+yvzI=")</f>
        <v>#REF!</v>
      </c>
      <c r="AZ28" t="e">
        <f>AND(#REF!,"AAAAAF+yvzM=")</f>
        <v>#REF!</v>
      </c>
      <c r="BA28" t="e">
        <f>AND(#REF!,"AAAAAF+yvzQ=")</f>
        <v>#REF!</v>
      </c>
      <c r="BB28" t="e">
        <f>AND(#REF!,"AAAAAF+yvzU=")</f>
        <v>#REF!</v>
      </c>
      <c r="BC28" t="e">
        <f>AND(#REF!,"AAAAAF+yvzY=")</f>
        <v>#REF!</v>
      </c>
      <c r="BD28" t="e">
        <f>AND(#REF!,"AAAAAF+yvzc=")</f>
        <v>#REF!</v>
      </c>
      <c r="BE28" t="e">
        <f>AND(#REF!,"AAAAAF+yvzg=")</f>
        <v>#REF!</v>
      </c>
      <c r="BF28" t="e">
        <f>AND(#REF!,"AAAAAF+yvzk=")</f>
        <v>#REF!</v>
      </c>
      <c r="BG28" t="e">
        <f>AND(#REF!,"AAAAAF+yvzo=")</f>
        <v>#REF!</v>
      </c>
      <c r="BH28" t="e">
        <f>AND(#REF!,"AAAAAF+yvzs=")</f>
        <v>#REF!</v>
      </c>
      <c r="BI28" t="e">
        <f>AND(#REF!,"AAAAAF+yvzw=")</f>
        <v>#REF!</v>
      </c>
      <c r="BJ28" t="e">
        <f>AND(#REF!,"AAAAAF+yvz0=")</f>
        <v>#REF!</v>
      </c>
      <c r="BK28" t="e">
        <f>AND(#REF!,"AAAAAF+yvz4=")</f>
        <v>#REF!</v>
      </c>
      <c r="BL28" t="e">
        <f>AND(#REF!,"AAAAAF+yvz8=")</f>
        <v>#REF!</v>
      </c>
      <c r="BM28" t="e">
        <f>AND(#REF!,"AAAAAF+yv0A=")</f>
        <v>#REF!</v>
      </c>
      <c r="BN28" t="e">
        <f>AND(#REF!,"AAAAAF+yv0E=")</f>
        <v>#REF!</v>
      </c>
      <c r="BO28" t="e">
        <f>AND(#REF!,"AAAAAF+yv0I=")</f>
        <v>#REF!</v>
      </c>
      <c r="BP28" t="e">
        <f>AND(#REF!,"AAAAAF+yv0M=")</f>
        <v>#REF!</v>
      </c>
      <c r="BQ28" t="e">
        <f>AND(#REF!,"AAAAAF+yv0Q=")</f>
        <v>#REF!</v>
      </c>
      <c r="BR28" t="e">
        <f>AND(#REF!,"AAAAAF+yv0U=")</f>
        <v>#REF!</v>
      </c>
      <c r="BS28" t="e">
        <f>IF(#REF!,"AAAAAF+yv0Y=",0)</f>
        <v>#REF!</v>
      </c>
      <c r="BT28" t="e">
        <f>AND(#REF!,"AAAAAF+yv0c=")</f>
        <v>#REF!</v>
      </c>
      <c r="BU28" t="e">
        <f>AND(#REF!,"AAAAAF+yv0g=")</f>
        <v>#REF!</v>
      </c>
      <c r="BV28" t="e">
        <f>AND(#REF!,"AAAAAF+yv0k=")</f>
        <v>#REF!</v>
      </c>
      <c r="BW28" t="e">
        <f>AND(#REF!,"AAAAAF+yv0o=")</f>
        <v>#REF!</v>
      </c>
      <c r="BX28" t="e">
        <f>AND(#REF!,"AAAAAF+yv0s=")</f>
        <v>#REF!</v>
      </c>
      <c r="BY28" t="e">
        <f>AND(#REF!,"AAAAAF+yv0w=")</f>
        <v>#REF!</v>
      </c>
      <c r="BZ28" t="e">
        <f>AND(#REF!,"AAAAAF+yv00=")</f>
        <v>#REF!</v>
      </c>
      <c r="CA28" t="e">
        <f>AND(#REF!,"AAAAAF+yv04=")</f>
        <v>#REF!</v>
      </c>
      <c r="CB28" t="e">
        <f>AND(#REF!,"AAAAAF+yv08=")</f>
        <v>#REF!</v>
      </c>
      <c r="CC28" t="e">
        <f>AND(#REF!,"AAAAAF+yv1A=")</f>
        <v>#REF!</v>
      </c>
      <c r="CD28" t="e">
        <f>AND(#REF!,"AAAAAF+yv1E=")</f>
        <v>#REF!</v>
      </c>
      <c r="CE28" t="e">
        <f>AND(#REF!,"AAAAAF+yv1I=")</f>
        <v>#REF!</v>
      </c>
      <c r="CF28" t="e">
        <f>AND(#REF!,"AAAAAF+yv1M=")</f>
        <v>#REF!</v>
      </c>
      <c r="CG28" t="e">
        <f>AND(#REF!,"AAAAAF+yv1Q=")</f>
        <v>#REF!</v>
      </c>
      <c r="CH28" t="e">
        <f>AND(#REF!,"AAAAAF+yv1U=")</f>
        <v>#REF!</v>
      </c>
      <c r="CI28" t="e">
        <f>AND(#REF!,"AAAAAF+yv1Y=")</f>
        <v>#REF!</v>
      </c>
      <c r="CJ28" t="e">
        <f>AND(#REF!,"AAAAAF+yv1c=")</f>
        <v>#REF!</v>
      </c>
      <c r="CK28" t="e">
        <f>AND(#REF!,"AAAAAF+yv1g=")</f>
        <v>#REF!</v>
      </c>
      <c r="CL28" t="e">
        <f>AND(#REF!,"AAAAAF+yv1k=")</f>
        <v>#REF!</v>
      </c>
      <c r="CM28" t="e">
        <f>AND(#REF!,"AAAAAF+yv1o=")</f>
        <v>#REF!</v>
      </c>
      <c r="CN28" t="e">
        <f>AND(#REF!,"AAAAAF+yv1s=")</f>
        <v>#REF!</v>
      </c>
      <c r="CO28" t="e">
        <f>AND(#REF!,"AAAAAF+yv1w=")</f>
        <v>#REF!</v>
      </c>
      <c r="CP28" t="e">
        <f>AND(#REF!,"AAAAAF+yv10=")</f>
        <v>#REF!</v>
      </c>
      <c r="CQ28" t="e">
        <f>IF(#REF!,"AAAAAF+yv14=",0)</f>
        <v>#REF!</v>
      </c>
      <c r="CR28" t="e">
        <f>AND(#REF!,"AAAAAF+yv18=")</f>
        <v>#REF!</v>
      </c>
      <c r="CS28" t="e">
        <f>AND(#REF!,"AAAAAF+yv2A=")</f>
        <v>#REF!</v>
      </c>
      <c r="CT28" t="e">
        <f>AND(#REF!,"AAAAAF+yv2E=")</f>
        <v>#REF!</v>
      </c>
      <c r="CU28" t="e">
        <f>AND(#REF!,"AAAAAF+yv2I=")</f>
        <v>#REF!</v>
      </c>
      <c r="CV28" t="e">
        <f>AND(#REF!,"AAAAAF+yv2M=")</f>
        <v>#REF!</v>
      </c>
      <c r="CW28" t="e">
        <f>AND(#REF!,"AAAAAF+yv2Q=")</f>
        <v>#REF!</v>
      </c>
      <c r="CX28" t="e">
        <f>AND(#REF!,"AAAAAF+yv2U=")</f>
        <v>#REF!</v>
      </c>
      <c r="CY28" t="e">
        <f>AND(#REF!,"AAAAAF+yv2Y=")</f>
        <v>#REF!</v>
      </c>
      <c r="CZ28" t="e">
        <f>AND(#REF!,"AAAAAF+yv2c=")</f>
        <v>#REF!</v>
      </c>
      <c r="DA28" t="e">
        <f>AND(#REF!,"AAAAAF+yv2g=")</f>
        <v>#REF!</v>
      </c>
      <c r="DB28" t="e">
        <f>AND(#REF!,"AAAAAF+yv2k=")</f>
        <v>#REF!</v>
      </c>
      <c r="DC28" t="e">
        <f>AND(#REF!,"AAAAAF+yv2o=")</f>
        <v>#REF!</v>
      </c>
      <c r="DD28" t="e">
        <f>AND(#REF!,"AAAAAF+yv2s=")</f>
        <v>#REF!</v>
      </c>
      <c r="DE28" t="e">
        <f>AND(#REF!,"AAAAAF+yv2w=")</f>
        <v>#REF!</v>
      </c>
      <c r="DF28" t="e">
        <f>AND(#REF!,"AAAAAF+yv20=")</f>
        <v>#REF!</v>
      </c>
      <c r="DG28" t="e">
        <f>AND(#REF!,"AAAAAF+yv24=")</f>
        <v>#REF!</v>
      </c>
      <c r="DH28" t="e">
        <f>AND(#REF!,"AAAAAF+yv28=")</f>
        <v>#REF!</v>
      </c>
      <c r="DI28" t="e">
        <f>AND(#REF!,"AAAAAF+yv3A=")</f>
        <v>#REF!</v>
      </c>
      <c r="DJ28" t="e">
        <f>AND(#REF!,"AAAAAF+yv3E=")</f>
        <v>#REF!</v>
      </c>
      <c r="DK28" t="e">
        <f>AND(#REF!,"AAAAAF+yv3I=")</f>
        <v>#REF!</v>
      </c>
      <c r="DL28" t="e">
        <f>AND(#REF!,"AAAAAF+yv3M=")</f>
        <v>#REF!</v>
      </c>
      <c r="DM28" t="e">
        <f>AND(#REF!,"AAAAAF+yv3Q=")</f>
        <v>#REF!</v>
      </c>
      <c r="DN28" t="e">
        <f>AND(#REF!,"AAAAAF+yv3U=")</f>
        <v>#REF!</v>
      </c>
      <c r="DO28" t="e">
        <f>IF(#REF!,"AAAAAF+yv3Y=",0)</f>
        <v>#REF!</v>
      </c>
      <c r="DP28" t="e">
        <f>AND(#REF!,"AAAAAF+yv3c=")</f>
        <v>#REF!</v>
      </c>
      <c r="DQ28" t="e">
        <f>AND(#REF!,"AAAAAF+yv3g=")</f>
        <v>#REF!</v>
      </c>
      <c r="DR28" t="e">
        <f>AND(#REF!,"AAAAAF+yv3k=")</f>
        <v>#REF!</v>
      </c>
      <c r="DS28" t="e">
        <f>AND(#REF!,"AAAAAF+yv3o=")</f>
        <v>#REF!</v>
      </c>
      <c r="DT28" t="e">
        <f>AND(#REF!,"AAAAAF+yv3s=")</f>
        <v>#REF!</v>
      </c>
      <c r="DU28" t="e">
        <f>AND(#REF!,"AAAAAF+yv3w=")</f>
        <v>#REF!</v>
      </c>
      <c r="DV28" t="e">
        <f>AND(#REF!,"AAAAAF+yv30=")</f>
        <v>#REF!</v>
      </c>
      <c r="DW28" t="e">
        <f>AND(#REF!,"AAAAAF+yv34=")</f>
        <v>#REF!</v>
      </c>
      <c r="DX28" t="e">
        <f>AND(#REF!,"AAAAAF+yv38=")</f>
        <v>#REF!</v>
      </c>
      <c r="DY28" t="e">
        <f>AND(#REF!,"AAAAAF+yv4A=")</f>
        <v>#REF!</v>
      </c>
      <c r="DZ28" t="e">
        <f>AND(#REF!,"AAAAAF+yv4E=")</f>
        <v>#REF!</v>
      </c>
      <c r="EA28" t="e">
        <f>AND(#REF!,"AAAAAF+yv4I=")</f>
        <v>#REF!</v>
      </c>
      <c r="EB28" t="e">
        <f>AND(#REF!,"AAAAAF+yv4M=")</f>
        <v>#REF!</v>
      </c>
      <c r="EC28" t="e">
        <f>AND(#REF!,"AAAAAF+yv4Q=")</f>
        <v>#REF!</v>
      </c>
      <c r="ED28" t="e">
        <f>AND(#REF!,"AAAAAF+yv4U=")</f>
        <v>#REF!</v>
      </c>
      <c r="EE28" t="e">
        <f>AND(#REF!,"AAAAAF+yv4Y=")</f>
        <v>#REF!</v>
      </c>
      <c r="EF28" t="e">
        <f>AND(#REF!,"AAAAAF+yv4c=")</f>
        <v>#REF!</v>
      </c>
      <c r="EG28" t="e">
        <f>AND(#REF!,"AAAAAF+yv4g=")</f>
        <v>#REF!</v>
      </c>
      <c r="EH28" t="e">
        <f>AND(#REF!,"AAAAAF+yv4k=")</f>
        <v>#REF!</v>
      </c>
      <c r="EI28" t="e">
        <f>AND(#REF!,"AAAAAF+yv4o=")</f>
        <v>#REF!</v>
      </c>
      <c r="EJ28" t="e">
        <f>AND(#REF!,"AAAAAF+yv4s=")</f>
        <v>#REF!</v>
      </c>
      <c r="EK28" t="e">
        <f>AND(#REF!,"AAAAAF+yv4w=")</f>
        <v>#REF!</v>
      </c>
      <c r="EL28" t="e">
        <f>AND(#REF!,"AAAAAF+yv40=")</f>
        <v>#REF!</v>
      </c>
      <c r="EM28" t="e">
        <f>IF(#REF!,"AAAAAF+yv44=",0)</f>
        <v>#REF!</v>
      </c>
      <c r="EN28" t="e">
        <f>AND(#REF!,"AAAAAF+yv48=")</f>
        <v>#REF!</v>
      </c>
      <c r="EO28" t="e">
        <f>AND(#REF!,"AAAAAF+yv5A=")</f>
        <v>#REF!</v>
      </c>
      <c r="EP28" t="e">
        <f>AND(#REF!,"AAAAAF+yv5E=")</f>
        <v>#REF!</v>
      </c>
      <c r="EQ28" t="e">
        <f>AND(#REF!,"AAAAAF+yv5I=")</f>
        <v>#REF!</v>
      </c>
      <c r="ER28" t="e">
        <f>AND(#REF!,"AAAAAF+yv5M=")</f>
        <v>#REF!</v>
      </c>
      <c r="ES28" t="e">
        <f>AND(#REF!,"AAAAAF+yv5Q=")</f>
        <v>#REF!</v>
      </c>
      <c r="ET28" t="e">
        <f>AND(#REF!,"AAAAAF+yv5U=")</f>
        <v>#REF!</v>
      </c>
      <c r="EU28" t="e">
        <f>AND(#REF!,"AAAAAF+yv5Y=")</f>
        <v>#REF!</v>
      </c>
      <c r="EV28" t="e">
        <f>AND(#REF!,"AAAAAF+yv5c=")</f>
        <v>#REF!</v>
      </c>
      <c r="EW28" t="e">
        <f>AND(#REF!,"AAAAAF+yv5g=")</f>
        <v>#REF!</v>
      </c>
      <c r="EX28" t="e">
        <f>AND(#REF!,"AAAAAF+yv5k=")</f>
        <v>#REF!</v>
      </c>
      <c r="EY28" t="e">
        <f>AND(#REF!,"AAAAAF+yv5o=")</f>
        <v>#REF!</v>
      </c>
      <c r="EZ28" t="e">
        <f>AND(#REF!,"AAAAAF+yv5s=")</f>
        <v>#REF!</v>
      </c>
      <c r="FA28" t="e">
        <f>AND(#REF!,"AAAAAF+yv5w=")</f>
        <v>#REF!</v>
      </c>
      <c r="FB28" t="e">
        <f>AND(#REF!,"AAAAAF+yv50=")</f>
        <v>#REF!</v>
      </c>
      <c r="FC28" t="e">
        <f>AND(#REF!,"AAAAAF+yv54=")</f>
        <v>#REF!</v>
      </c>
      <c r="FD28" t="e">
        <f>AND(#REF!,"AAAAAF+yv58=")</f>
        <v>#REF!</v>
      </c>
      <c r="FE28" t="e">
        <f>AND(#REF!,"AAAAAF+yv6A=")</f>
        <v>#REF!</v>
      </c>
      <c r="FF28" t="e">
        <f>AND(#REF!,"AAAAAF+yv6E=")</f>
        <v>#REF!</v>
      </c>
      <c r="FG28" t="e">
        <f>AND(#REF!,"AAAAAF+yv6I=")</f>
        <v>#REF!</v>
      </c>
      <c r="FH28" t="e">
        <f>AND(#REF!,"AAAAAF+yv6M=")</f>
        <v>#REF!</v>
      </c>
      <c r="FI28" t="e">
        <f>AND(#REF!,"AAAAAF+yv6Q=")</f>
        <v>#REF!</v>
      </c>
      <c r="FJ28" t="e">
        <f>AND(#REF!,"AAAAAF+yv6U=")</f>
        <v>#REF!</v>
      </c>
      <c r="FK28" t="e">
        <f>IF(#REF!,"AAAAAF+yv6Y=",0)</f>
        <v>#REF!</v>
      </c>
      <c r="FL28" t="e">
        <f>AND(#REF!,"AAAAAF+yv6c=")</f>
        <v>#REF!</v>
      </c>
      <c r="FM28" t="e">
        <f>AND(#REF!,"AAAAAF+yv6g=")</f>
        <v>#REF!</v>
      </c>
      <c r="FN28" t="e">
        <f>AND(#REF!,"AAAAAF+yv6k=")</f>
        <v>#REF!</v>
      </c>
      <c r="FO28" t="e">
        <f>AND(#REF!,"AAAAAF+yv6o=")</f>
        <v>#REF!</v>
      </c>
      <c r="FP28" t="e">
        <f>AND(#REF!,"AAAAAF+yv6s=")</f>
        <v>#REF!</v>
      </c>
      <c r="FQ28" t="e">
        <f>AND(#REF!,"AAAAAF+yv6w=")</f>
        <v>#REF!</v>
      </c>
      <c r="FR28" t="e">
        <f>AND(#REF!,"AAAAAF+yv60=")</f>
        <v>#REF!</v>
      </c>
      <c r="FS28" t="e">
        <f>AND(#REF!,"AAAAAF+yv64=")</f>
        <v>#REF!</v>
      </c>
      <c r="FT28" t="e">
        <f>AND(#REF!,"AAAAAF+yv68=")</f>
        <v>#REF!</v>
      </c>
      <c r="FU28" t="e">
        <f>AND(#REF!,"AAAAAF+yv7A=")</f>
        <v>#REF!</v>
      </c>
      <c r="FV28" t="e">
        <f>AND(#REF!,"AAAAAF+yv7E=")</f>
        <v>#REF!</v>
      </c>
      <c r="FW28" t="e">
        <f>AND(#REF!,"AAAAAF+yv7I=")</f>
        <v>#REF!</v>
      </c>
      <c r="FX28" t="e">
        <f>AND(#REF!,"AAAAAF+yv7M=")</f>
        <v>#REF!</v>
      </c>
      <c r="FY28" t="e">
        <f>AND(#REF!,"AAAAAF+yv7Q=")</f>
        <v>#REF!</v>
      </c>
      <c r="FZ28" t="e">
        <f>AND(#REF!,"AAAAAF+yv7U=")</f>
        <v>#REF!</v>
      </c>
      <c r="GA28" t="e">
        <f>AND(#REF!,"AAAAAF+yv7Y=")</f>
        <v>#REF!</v>
      </c>
      <c r="GB28" t="e">
        <f>AND(#REF!,"AAAAAF+yv7c=")</f>
        <v>#REF!</v>
      </c>
      <c r="GC28" t="e">
        <f>AND(#REF!,"AAAAAF+yv7g=")</f>
        <v>#REF!</v>
      </c>
      <c r="GD28" t="e">
        <f>AND(#REF!,"AAAAAF+yv7k=")</f>
        <v>#REF!</v>
      </c>
      <c r="GE28" t="e">
        <f>AND(#REF!,"AAAAAF+yv7o=")</f>
        <v>#REF!</v>
      </c>
      <c r="GF28" t="e">
        <f>AND(#REF!,"AAAAAF+yv7s=")</f>
        <v>#REF!</v>
      </c>
      <c r="GG28" t="e">
        <f>AND(#REF!,"AAAAAF+yv7w=")</f>
        <v>#REF!</v>
      </c>
      <c r="GH28" t="e">
        <f>AND(#REF!,"AAAAAF+yv70=")</f>
        <v>#REF!</v>
      </c>
      <c r="GI28" t="e">
        <f>IF(#REF!,"AAAAAF+yv74=",0)</f>
        <v>#REF!</v>
      </c>
      <c r="GJ28" t="e">
        <f>AND(#REF!,"AAAAAF+yv78=")</f>
        <v>#REF!</v>
      </c>
      <c r="GK28" t="e">
        <f>AND(#REF!,"AAAAAF+yv8A=")</f>
        <v>#REF!</v>
      </c>
      <c r="GL28" t="e">
        <f>AND(#REF!,"AAAAAF+yv8E=")</f>
        <v>#REF!</v>
      </c>
      <c r="GM28" t="e">
        <f>AND(#REF!,"AAAAAF+yv8I=")</f>
        <v>#REF!</v>
      </c>
      <c r="GN28" t="e">
        <f>AND(#REF!,"AAAAAF+yv8M=")</f>
        <v>#REF!</v>
      </c>
      <c r="GO28" t="e">
        <f>AND(#REF!,"AAAAAF+yv8Q=")</f>
        <v>#REF!</v>
      </c>
      <c r="GP28" t="e">
        <f>AND(#REF!,"AAAAAF+yv8U=")</f>
        <v>#REF!</v>
      </c>
      <c r="GQ28" t="e">
        <f>AND(#REF!,"AAAAAF+yv8Y=")</f>
        <v>#REF!</v>
      </c>
      <c r="GR28" t="e">
        <f>AND(#REF!,"AAAAAF+yv8c=")</f>
        <v>#REF!</v>
      </c>
      <c r="GS28" t="e">
        <f>AND(#REF!,"AAAAAF+yv8g=")</f>
        <v>#REF!</v>
      </c>
      <c r="GT28" t="e">
        <f>AND(#REF!,"AAAAAF+yv8k=")</f>
        <v>#REF!</v>
      </c>
      <c r="GU28" t="e">
        <f>AND(#REF!,"AAAAAF+yv8o=")</f>
        <v>#REF!</v>
      </c>
      <c r="GV28" t="e">
        <f>AND(#REF!,"AAAAAF+yv8s=")</f>
        <v>#REF!</v>
      </c>
      <c r="GW28" t="e">
        <f>AND(#REF!,"AAAAAF+yv8w=")</f>
        <v>#REF!</v>
      </c>
      <c r="GX28" t="e">
        <f>AND(#REF!,"AAAAAF+yv80=")</f>
        <v>#REF!</v>
      </c>
      <c r="GY28" t="e">
        <f>AND(#REF!,"AAAAAF+yv84=")</f>
        <v>#REF!</v>
      </c>
      <c r="GZ28" t="e">
        <f>AND(#REF!,"AAAAAF+yv88=")</f>
        <v>#REF!</v>
      </c>
      <c r="HA28" t="e">
        <f>AND(#REF!,"AAAAAF+yv9A=")</f>
        <v>#REF!</v>
      </c>
      <c r="HB28" t="e">
        <f>AND(#REF!,"AAAAAF+yv9E=")</f>
        <v>#REF!</v>
      </c>
      <c r="HC28" t="e">
        <f>AND(#REF!,"AAAAAF+yv9I=")</f>
        <v>#REF!</v>
      </c>
      <c r="HD28" t="e">
        <f>AND(#REF!,"AAAAAF+yv9M=")</f>
        <v>#REF!</v>
      </c>
      <c r="HE28" t="e">
        <f>AND(#REF!,"AAAAAF+yv9Q=")</f>
        <v>#REF!</v>
      </c>
      <c r="HF28" t="e">
        <f>AND(#REF!,"AAAAAF+yv9U=")</f>
        <v>#REF!</v>
      </c>
      <c r="HG28" t="e">
        <f>IF(#REF!,"AAAAAF+yv9Y=",0)</f>
        <v>#REF!</v>
      </c>
      <c r="HH28" t="e">
        <f>AND(#REF!,"AAAAAF+yv9c=")</f>
        <v>#REF!</v>
      </c>
      <c r="HI28" t="e">
        <f>AND(#REF!,"AAAAAF+yv9g=")</f>
        <v>#REF!</v>
      </c>
      <c r="HJ28" t="e">
        <f>AND(#REF!,"AAAAAF+yv9k=")</f>
        <v>#REF!</v>
      </c>
      <c r="HK28" t="e">
        <f>AND(#REF!,"AAAAAF+yv9o=")</f>
        <v>#REF!</v>
      </c>
      <c r="HL28" t="e">
        <f>AND(#REF!,"AAAAAF+yv9s=")</f>
        <v>#REF!</v>
      </c>
      <c r="HM28" t="e">
        <f>AND(#REF!,"AAAAAF+yv9w=")</f>
        <v>#REF!</v>
      </c>
      <c r="HN28" t="e">
        <f>AND(#REF!,"AAAAAF+yv90=")</f>
        <v>#REF!</v>
      </c>
      <c r="HO28" t="e">
        <f>AND(#REF!,"AAAAAF+yv94=")</f>
        <v>#REF!</v>
      </c>
      <c r="HP28" t="e">
        <f>AND(#REF!,"AAAAAF+yv98=")</f>
        <v>#REF!</v>
      </c>
      <c r="HQ28" t="e">
        <f>AND(#REF!,"AAAAAF+yv+A=")</f>
        <v>#REF!</v>
      </c>
      <c r="HR28" t="e">
        <f>AND(#REF!,"AAAAAF+yv+E=")</f>
        <v>#REF!</v>
      </c>
      <c r="HS28" t="e">
        <f>AND(#REF!,"AAAAAF+yv+I=")</f>
        <v>#REF!</v>
      </c>
      <c r="HT28" t="e">
        <f>AND(#REF!,"AAAAAF+yv+M=")</f>
        <v>#REF!</v>
      </c>
      <c r="HU28" t="e">
        <f>AND(#REF!,"AAAAAF+yv+Q=")</f>
        <v>#REF!</v>
      </c>
      <c r="HV28" t="e">
        <f>AND(#REF!,"AAAAAF+yv+U=")</f>
        <v>#REF!</v>
      </c>
      <c r="HW28" t="e">
        <f>AND(#REF!,"AAAAAF+yv+Y=")</f>
        <v>#REF!</v>
      </c>
      <c r="HX28" t="e">
        <f>AND(#REF!,"AAAAAF+yv+c=")</f>
        <v>#REF!</v>
      </c>
      <c r="HY28" t="e">
        <f>AND(#REF!,"AAAAAF+yv+g=")</f>
        <v>#REF!</v>
      </c>
      <c r="HZ28" t="e">
        <f>AND(#REF!,"AAAAAF+yv+k=")</f>
        <v>#REF!</v>
      </c>
      <c r="IA28" t="e">
        <f>AND(#REF!,"AAAAAF+yv+o=")</f>
        <v>#REF!</v>
      </c>
      <c r="IB28" t="e">
        <f>AND(#REF!,"AAAAAF+yv+s=")</f>
        <v>#REF!</v>
      </c>
      <c r="IC28" t="e">
        <f>AND(#REF!,"AAAAAF+yv+w=")</f>
        <v>#REF!</v>
      </c>
      <c r="ID28" t="e">
        <f>AND(#REF!,"AAAAAF+yv+0=")</f>
        <v>#REF!</v>
      </c>
      <c r="IE28" t="e">
        <f>IF(#REF!,"AAAAAF+yv+4=",0)</f>
        <v>#REF!</v>
      </c>
      <c r="IF28" t="e">
        <f>AND(#REF!,"AAAAAF+yv+8=")</f>
        <v>#REF!</v>
      </c>
      <c r="IG28" t="e">
        <f>AND(#REF!,"AAAAAF+yv/A=")</f>
        <v>#REF!</v>
      </c>
      <c r="IH28" t="e">
        <f>AND(#REF!,"AAAAAF+yv/E=")</f>
        <v>#REF!</v>
      </c>
      <c r="II28" t="e">
        <f>AND(#REF!,"AAAAAF+yv/I=")</f>
        <v>#REF!</v>
      </c>
      <c r="IJ28" t="e">
        <f>AND(#REF!,"AAAAAF+yv/M=")</f>
        <v>#REF!</v>
      </c>
      <c r="IK28" t="e">
        <f>AND(#REF!,"AAAAAF+yv/Q=")</f>
        <v>#REF!</v>
      </c>
      <c r="IL28" t="e">
        <f>AND(#REF!,"AAAAAF+yv/U=")</f>
        <v>#REF!</v>
      </c>
      <c r="IM28" t="e">
        <f>AND(#REF!,"AAAAAF+yv/Y=")</f>
        <v>#REF!</v>
      </c>
      <c r="IN28" t="e">
        <f>AND(#REF!,"AAAAAF+yv/c=")</f>
        <v>#REF!</v>
      </c>
      <c r="IO28" t="e">
        <f>AND(#REF!,"AAAAAF+yv/g=")</f>
        <v>#REF!</v>
      </c>
      <c r="IP28" t="e">
        <f>AND(#REF!,"AAAAAF+yv/k=")</f>
        <v>#REF!</v>
      </c>
      <c r="IQ28" t="e">
        <f>AND(#REF!,"AAAAAF+yv/o=")</f>
        <v>#REF!</v>
      </c>
      <c r="IR28" t="e">
        <f>AND(#REF!,"AAAAAF+yv/s=")</f>
        <v>#REF!</v>
      </c>
      <c r="IS28" t="e">
        <f>AND(#REF!,"AAAAAF+yv/w=")</f>
        <v>#REF!</v>
      </c>
      <c r="IT28" t="e">
        <f>AND(#REF!,"AAAAAF+yv/0=")</f>
        <v>#REF!</v>
      </c>
      <c r="IU28" t="e">
        <f>AND(#REF!,"AAAAAF+yv/4=")</f>
        <v>#REF!</v>
      </c>
      <c r="IV28" t="e">
        <f>AND(#REF!,"AAAAAF+yv/8=")</f>
        <v>#REF!</v>
      </c>
    </row>
    <row r="29" spans="1:256" x14ac:dyDescent="0.25">
      <c r="A29" t="e">
        <f>AND(#REF!,"AAAAAHr7/wA=")</f>
        <v>#REF!</v>
      </c>
      <c r="B29" t="e">
        <f>AND(#REF!,"AAAAAHr7/wE=")</f>
        <v>#REF!</v>
      </c>
      <c r="C29" t="e">
        <f>AND(#REF!,"AAAAAHr7/wI=")</f>
        <v>#REF!</v>
      </c>
      <c r="D29" t="e">
        <f>AND(#REF!,"AAAAAHr7/wM=")</f>
        <v>#REF!</v>
      </c>
      <c r="E29" t="e">
        <f>AND(#REF!,"AAAAAHr7/wQ=")</f>
        <v>#REF!</v>
      </c>
      <c r="F29" t="e">
        <f>AND(#REF!,"AAAAAHr7/wU=")</f>
        <v>#REF!</v>
      </c>
      <c r="G29" t="e">
        <f>IF(#REF!,"AAAAAHr7/wY=",0)</f>
        <v>#REF!</v>
      </c>
      <c r="H29" t="e">
        <f>AND(#REF!,"AAAAAHr7/wc=")</f>
        <v>#REF!</v>
      </c>
      <c r="I29" t="e">
        <f>AND(#REF!,"AAAAAHr7/wg=")</f>
        <v>#REF!</v>
      </c>
      <c r="J29" t="e">
        <f>AND(#REF!,"AAAAAHr7/wk=")</f>
        <v>#REF!</v>
      </c>
      <c r="K29" t="e">
        <f>AND(#REF!,"AAAAAHr7/wo=")</f>
        <v>#REF!</v>
      </c>
      <c r="L29" t="e">
        <f>AND(#REF!,"AAAAAHr7/ws=")</f>
        <v>#REF!</v>
      </c>
      <c r="M29" t="e">
        <f>AND(#REF!,"AAAAAHr7/ww=")</f>
        <v>#REF!</v>
      </c>
      <c r="N29" t="e">
        <f>AND(#REF!,"AAAAAHr7/w0=")</f>
        <v>#REF!</v>
      </c>
      <c r="O29" t="e">
        <f>AND(#REF!,"AAAAAHr7/w4=")</f>
        <v>#REF!</v>
      </c>
      <c r="P29" t="e">
        <f>AND(#REF!,"AAAAAHr7/w8=")</f>
        <v>#REF!</v>
      </c>
      <c r="Q29" t="e">
        <f>AND(#REF!,"AAAAAHr7/xA=")</f>
        <v>#REF!</v>
      </c>
      <c r="R29" t="e">
        <f>AND(#REF!,"AAAAAHr7/xE=")</f>
        <v>#REF!</v>
      </c>
      <c r="S29" t="e">
        <f>AND(#REF!,"AAAAAHr7/xI=")</f>
        <v>#REF!</v>
      </c>
      <c r="T29" t="e">
        <f>AND(#REF!,"AAAAAHr7/xM=")</f>
        <v>#REF!</v>
      </c>
      <c r="U29" t="e">
        <f>AND(#REF!,"AAAAAHr7/xQ=")</f>
        <v>#REF!</v>
      </c>
      <c r="V29" t="e">
        <f>AND(#REF!,"AAAAAHr7/xU=")</f>
        <v>#REF!</v>
      </c>
      <c r="W29" t="e">
        <f>AND(#REF!,"AAAAAHr7/xY=")</f>
        <v>#REF!</v>
      </c>
      <c r="X29" t="e">
        <f>AND(#REF!,"AAAAAHr7/xc=")</f>
        <v>#REF!</v>
      </c>
      <c r="Y29" t="e">
        <f>AND(#REF!,"AAAAAHr7/xg=")</f>
        <v>#REF!</v>
      </c>
      <c r="Z29" t="e">
        <f>AND(#REF!,"AAAAAHr7/xk=")</f>
        <v>#REF!</v>
      </c>
      <c r="AA29" t="e">
        <f>AND(#REF!,"AAAAAHr7/xo=")</f>
        <v>#REF!</v>
      </c>
      <c r="AB29" t="e">
        <f>AND(#REF!,"AAAAAHr7/xs=")</f>
        <v>#REF!</v>
      </c>
      <c r="AC29" t="e">
        <f>AND(#REF!,"AAAAAHr7/xw=")</f>
        <v>#REF!</v>
      </c>
      <c r="AD29" t="e">
        <f>AND(#REF!,"AAAAAHr7/x0=")</f>
        <v>#REF!</v>
      </c>
      <c r="AE29" t="e">
        <f>IF(#REF!,"AAAAAHr7/x4=",0)</f>
        <v>#REF!</v>
      </c>
      <c r="AF29" t="e">
        <f>AND(#REF!,"AAAAAHr7/x8=")</f>
        <v>#REF!</v>
      </c>
      <c r="AG29" t="e">
        <f>AND(#REF!,"AAAAAHr7/yA=")</f>
        <v>#REF!</v>
      </c>
      <c r="AH29" t="e">
        <f>AND(#REF!,"AAAAAHr7/yE=")</f>
        <v>#REF!</v>
      </c>
      <c r="AI29" t="e">
        <f>AND(#REF!,"AAAAAHr7/yI=")</f>
        <v>#REF!</v>
      </c>
      <c r="AJ29" t="e">
        <f>AND(#REF!,"AAAAAHr7/yM=")</f>
        <v>#REF!</v>
      </c>
      <c r="AK29" t="e">
        <f>AND(#REF!,"AAAAAHr7/yQ=")</f>
        <v>#REF!</v>
      </c>
      <c r="AL29" t="e">
        <f>AND(#REF!,"AAAAAHr7/yU=")</f>
        <v>#REF!</v>
      </c>
      <c r="AM29" t="e">
        <f>AND(#REF!,"AAAAAHr7/yY=")</f>
        <v>#REF!</v>
      </c>
      <c r="AN29" t="e">
        <f>AND(#REF!,"AAAAAHr7/yc=")</f>
        <v>#REF!</v>
      </c>
      <c r="AO29" t="e">
        <f>AND(#REF!,"AAAAAHr7/yg=")</f>
        <v>#REF!</v>
      </c>
      <c r="AP29" t="e">
        <f>AND(#REF!,"AAAAAHr7/yk=")</f>
        <v>#REF!</v>
      </c>
      <c r="AQ29" t="e">
        <f>AND(#REF!,"AAAAAHr7/yo=")</f>
        <v>#REF!</v>
      </c>
      <c r="AR29" t="e">
        <f>AND(#REF!,"AAAAAHr7/ys=")</f>
        <v>#REF!</v>
      </c>
      <c r="AS29" t="e">
        <f>AND(#REF!,"AAAAAHr7/yw=")</f>
        <v>#REF!</v>
      </c>
      <c r="AT29" t="e">
        <f>AND(#REF!,"AAAAAHr7/y0=")</f>
        <v>#REF!</v>
      </c>
      <c r="AU29" t="e">
        <f>AND(#REF!,"AAAAAHr7/y4=")</f>
        <v>#REF!</v>
      </c>
      <c r="AV29" t="e">
        <f>AND(#REF!,"AAAAAHr7/y8=")</f>
        <v>#REF!</v>
      </c>
      <c r="AW29" t="e">
        <f>AND(#REF!,"AAAAAHr7/zA=")</f>
        <v>#REF!</v>
      </c>
      <c r="AX29" t="e">
        <f>AND(#REF!,"AAAAAHr7/zE=")</f>
        <v>#REF!</v>
      </c>
      <c r="AY29" t="e">
        <f>AND(#REF!,"AAAAAHr7/zI=")</f>
        <v>#REF!</v>
      </c>
      <c r="AZ29" t="e">
        <f>AND(#REF!,"AAAAAHr7/zM=")</f>
        <v>#REF!</v>
      </c>
      <c r="BA29" t="e">
        <f>AND(#REF!,"AAAAAHr7/zQ=")</f>
        <v>#REF!</v>
      </c>
      <c r="BB29" t="e">
        <f>AND(#REF!,"AAAAAHr7/zU=")</f>
        <v>#REF!</v>
      </c>
      <c r="BC29" t="e">
        <f>IF(#REF!,"AAAAAHr7/zY=",0)</f>
        <v>#REF!</v>
      </c>
      <c r="BD29" t="e">
        <f>AND(#REF!,"AAAAAHr7/zc=")</f>
        <v>#REF!</v>
      </c>
      <c r="BE29" t="e">
        <f>AND(#REF!,"AAAAAHr7/zg=")</f>
        <v>#REF!</v>
      </c>
      <c r="BF29" t="e">
        <f>AND(#REF!,"AAAAAHr7/zk=")</f>
        <v>#REF!</v>
      </c>
      <c r="BG29" t="e">
        <f>AND(#REF!,"AAAAAHr7/zo=")</f>
        <v>#REF!</v>
      </c>
      <c r="BH29" t="e">
        <f>AND(#REF!,"AAAAAHr7/zs=")</f>
        <v>#REF!</v>
      </c>
      <c r="BI29" t="e">
        <f>AND(#REF!,"AAAAAHr7/zw=")</f>
        <v>#REF!</v>
      </c>
      <c r="BJ29" t="e">
        <f>AND(#REF!,"AAAAAHr7/z0=")</f>
        <v>#REF!</v>
      </c>
      <c r="BK29" t="e">
        <f>AND(#REF!,"AAAAAHr7/z4=")</f>
        <v>#REF!</v>
      </c>
      <c r="BL29" t="e">
        <f>AND(#REF!,"AAAAAHr7/z8=")</f>
        <v>#REF!</v>
      </c>
      <c r="BM29" t="e">
        <f>AND(#REF!,"AAAAAHr7/0A=")</f>
        <v>#REF!</v>
      </c>
      <c r="BN29" t="e">
        <f>AND(#REF!,"AAAAAHr7/0E=")</f>
        <v>#REF!</v>
      </c>
      <c r="BO29" t="e">
        <f>AND(#REF!,"AAAAAHr7/0I=")</f>
        <v>#REF!</v>
      </c>
      <c r="BP29" t="e">
        <f>AND(#REF!,"AAAAAHr7/0M=")</f>
        <v>#REF!</v>
      </c>
      <c r="BQ29" t="e">
        <f>AND(#REF!,"AAAAAHr7/0Q=")</f>
        <v>#REF!</v>
      </c>
      <c r="BR29" t="e">
        <f>AND(#REF!,"AAAAAHr7/0U=")</f>
        <v>#REF!</v>
      </c>
      <c r="BS29" t="e">
        <f>AND(#REF!,"AAAAAHr7/0Y=")</f>
        <v>#REF!</v>
      </c>
      <c r="BT29" t="e">
        <f>AND(#REF!,"AAAAAHr7/0c=")</f>
        <v>#REF!</v>
      </c>
      <c r="BU29" t="e">
        <f>AND(#REF!,"AAAAAHr7/0g=")</f>
        <v>#REF!</v>
      </c>
      <c r="BV29" t="e">
        <f>AND(#REF!,"AAAAAHr7/0k=")</f>
        <v>#REF!</v>
      </c>
      <c r="BW29" t="e">
        <f>AND(#REF!,"AAAAAHr7/0o=")</f>
        <v>#REF!</v>
      </c>
      <c r="BX29" t="e">
        <f>AND(#REF!,"AAAAAHr7/0s=")</f>
        <v>#REF!</v>
      </c>
      <c r="BY29" t="e">
        <f>AND(#REF!,"AAAAAHr7/0w=")</f>
        <v>#REF!</v>
      </c>
      <c r="BZ29" t="e">
        <f>AND(#REF!,"AAAAAHr7/00=")</f>
        <v>#REF!</v>
      </c>
      <c r="CA29" t="e">
        <f>IF(#REF!,"AAAAAHr7/04=",0)</f>
        <v>#REF!</v>
      </c>
      <c r="CB29" t="e">
        <f>AND(#REF!,"AAAAAHr7/08=")</f>
        <v>#REF!</v>
      </c>
      <c r="CC29" t="e">
        <f>AND(#REF!,"AAAAAHr7/1A=")</f>
        <v>#REF!</v>
      </c>
      <c r="CD29" t="e">
        <f>AND(#REF!,"AAAAAHr7/1E=")</f>
        <v>#REF!</v>
      </c>
      <c r="CE29" t="e">
        <f>AND(#REF!,"AAAAAHr7/1I=")</f>
        <v>#REF!</v>
      </c>
      <c r="CF29" t="e">
        <f>AND(#REF!,"AAAAAHr7/1M=")</f>
        <v>#REF!</v>
      </c>
      <c r="CG29" t="e">
        <f>AND(#REF!,"AAAAAHr7/1Q=")</f>
        <v>#REF!</v>
      </c>
      <c r="CH29" t="e">
        <f>AND(#REF!,"AAAAAHr7/1U=")</f>
        <v>#REF!</v>
      </c>
      <c r="CI29" t="e">
        <f>AND(#REF!,"AAAAAHr7/1Y=")</f>
        <v>#REF!</v>
      </c>
      <c r="CJ29" t="e">
        <f>AND(#REF!,"AAAAAHr7/1c=")</f>
        <v>#REF!</v>
      </c>
      <c r="CK29" t="e">
        <f>AND(#REF!,"AAAAAHr7/1g=")</f>
        <v>#REF!</v>
      </c>
      <c r="CL29" t="e">
        <f>AND(#REF!,"AAAAAHr7/1k=")</f>
        <v>#REF!</v>
      </c>
      <c r="CM29" t="e">
        <f>AND(#REF!,"AAAAAHr7/1o=")</f>
        <v>#REF!</v>
      </c>
      <c r="CN29" t="e">
        <f>AND(#REF!,"AAAAAHr7/1s=")</f>
        <v>#REF!</v>
      </c>
      <c r="CO29" t="e">
        <f>AND(#REF!,"AAAAAHr7/1w=")</f>
        <v>#REF!</v>
      </c>
      <c r="CP29" t="e">
        <f>AND(#REF!,"AAAAAHr7/10=")</f>
        <v>#REF!</v>
      </c>
      <c r="CQ29" t="e">
        <f>AND(#REF!,"AAAAAHr7/14=")</f>
        <v>#REF!</v>
      </c>
      <c r="CR29" t="e">
        <f>AND(#REF!,"AAAAAHr7/18=")</f>
        <v>#REF!</v>
      </c>
      <c r="CS29" t="e">
        <f>AND(#REF!,"AAAAAHr7/2A=")</f>
        <v>#REF!</v>
      </c>
      <c r="CT29" t="e">
        <f>AND(#REF!,"AAAAAHr7/2E=")</f>
        <v>#REF!</v>
      </c>
      <c r="CU29" t="e">
        <f>AND(#REF!,"AAAAAHr7/2I=")</f>
        <v>#REF!</v>
      </c>
      <c r="CV29" t="e">
        <f>AND(#REF!,"AAAAAHr7/2M=")</f>
        <v>#REF!</v>
      </c>
      <c r="CW29" t="e">
        <f>AND(#REF!,"AAAAAHr7/2Q=")</f>
        <v>#REF!</v>
      </c>
      <c r="CX29" t="e">
        <f>AND(#REF!,"AAAAAHr7/2U=")</f>
        <v>#REF!</v>
      </c>
      <c r="CY29" t="e">
        <f>IF(#REF!,"AAAAAHr7/2Y=",0)</f>
        <v>#REF!</v>
      </c>
      <c r="CZ29" t="e">
        <f>AND(#REF!,"AAAAAHr7/2c=")</f>
        <v>#REF!</v>
      </c>
      <c r="DA29" t="e">
        <f>AND(#REF!,"AAAAAHr7/2g=")</f>
        <v>#REF!</v>
      </c>
      <c r="DB29" t="e">
        <f>AND(#REF!,"AAAAAHr7/2k=")</f>
        <v>#REF!</v>
      </c>
      <c r="DC29" t="e">
        <f>AND(#REF!,"AAAAAHr7/2o=")</f>
        <v>#REF!</v>
      </c>
      <c r="DD29" t="e">
        <f>AND(#REF!,"AAAAAHr7/2s=")</f>
        <v>#REF!</v>
      </c>
      <c r="DE29" t="e">
        <f>AND(#REF!,"AAAAAHr7/2w=")</f>
        <v>#REF!</v>
      </c>
      <c r="DF29" t="e">
        <f>AND(#REF!,"AAAAAHr7/20=")</f>
        <v>#REF!</v>
      </c>
      <c r="DG29" t="e">
        <f>AND(#REF!,"AAAAAHr7/24=")</f>
        <v>#REF!</v>
      </c>
      <c r="DH29" t="e">
        <f>AND(#REF!,"AAAAAHr7/28=")</f>
        <v>#REF!</v>
      </c>
      <c r="DI29" t="e">
        <f>AND(#REF!,"AAAAAHr7/3A=")</f>
        <v>#REF!</v>
      </c>
      <c r="DJ29" t="e">
        <f>AND(#REF!,"AAAAAHr7/3E=")</f>
        <v>#REF!</v>
      </c>
      <c r="DK29" t="e">
        <f>AND(#REF!,"AAAAAHr7/3I=")</f>
        <v>#REF!</v>
      </c>
      <c r="DL29" t="e">
        <f>AND(#REF!,"AAAAAHr7/3M=")</f>
        <v>#REF!</v>
      </c>
      <c r="DM29" t="e">
        <f>AND(#REF!,"AAAAAHr7/3Q=")</f>
        <v>#REF!</v>
      </c>
      <c r="DN29" t="e">
        <f>AND(#REF!,"AAAAAHr7/3U=")</f>
        <v>#REF!</v>
      </c>
      <c r="DO29" t="e">
        <f>AND(#REF!,"AAAAAHr7/3Y=")</f>
        <v>#REF!</v>
      </c>
      <c r="DP29" t="e">
        <f>AND(#REF!,"AAAAAHr7/3c=")</f>
        <v>#REF!</v>
      </c>
      <c r="DQ29" t="e">
        <f>AND(#REF!,"AAAAAHr7/3g=")</f>
        <v>#REF!</v>
      </c>
      <c r="DR29" t="e">
        <f>AND(#REF!,"AAAAAHr7/3k=")</f>
        <v>#REF!</v>
      </c>
      <c r="DS29" t="e">
        <f>AND(#REF!,"AAAAAHr7/3o=")</f>
        <v>#REF!</v>
      </c>
      <c r="DT29" t="e">
        <f>AND(#REF!,"AAAAAHr7/3s=")</f>
        <v>#REF!</v>
      </c>
      <c r="DU29" t="e">
        <f>AND(#REF!,"AAAAAHr7/3w=")</f>
        <v>#REF!</v>
      </c>
      <c r="DV29" t="e">
        <f>AND(#REF!,"AAAAAHr7/30=")</f>
        <v>#REF!</v>
      </c>
      <c r="DW29" t="e">
        <f>IF(#REF!,"AAAAAHr7/34=",0)</f>
        <v>#REF!</v>
      </c>
      <c r="DX29" t="e">
        <f>AND(#REF!,"AAAAAHr7/38=")</f>
        <v>#REF!</v>
      </c>
      <c r="DY29" t="e">
        <f>AND(#REF!,"AAAAAHr7/4A=")</f>
        <v>#REF!</v>
      </c>
      <c r="DZ29" t="e">
        <f>AND(#REF!,"AAAAAHr7/4E=")</f>
        <v>#REF!</v>
      </c>
      <c r="EA29" t="e">
        <f>AND(#REF!,"AAAAAHr7/4I=")</f>
        <v>#REF!</v>
      </c>
      <c r="EB29" t="e">
        <f>AND(#REF!,"AAAAAHr7/4M=")</f>
        <v>#REF!</v>
      </c>
      <c r="EC29" t="e">
        <f>AND(#REF!,"AAAAAHr7/4Q=")</f>
        <v>#REF!</v>
      </c>
      <c r="ED29" t="e">
        <f>AND(#REF!,"AAAAAHr7/4U=")</f>
        <v>#REF!</v>
      </c>
      <c r="EE29" t="e">
        <f>AND(#REF!,"AAAAAHr7/4Y=")</f>
        <v>#REF!</v>
      </c>
      <c r="EF29" t="e">
        <f>AND(#REF!,"AAAAAHr7/4c=")</f>
        <v>#REF!</v>
      </c>
      <c r="EG29" t="e">
        <f>AND(#REF!,"AAAAAHr7/4g=")</f>
        <v>#REF!</v>
      </c>
      <c r="EH29" t="e">
        <f>AND(#REF!,"AAAAAHr7/4k=")</f>
        <v>#REF!</v>
      </c>
      <c r="EI29" t="e">
        <f>AND(#REF!,"AAAAAHr7/4o=")</f>
        <v>#REF!</v>
      </c>
      <c r="EJ29" t="e">
        <f>AND(#REF!,"AAAAAHr7/4s=")</f>
        <v>#REF!</v>
      </c>
      <c r="EK29" t="e">
        <f>AND(#REF!,"AAAAAHr7/4w=")</f>
        <v>#REF!</v>
      </c>
      <c r="EL29" t="e">
        <f>AND(#REF!,"AAAAAHr7/40=")</f>
        <v>#REF!</v>
      </c>
      <c r="EM29" t="e">
        <f>AND(#REF!,"AAAAAHr7/44=")</f>
        <v>#REF!</v>
      </c>
      <c r="EN29" t="e">
        <f>AND(#REF!,"AAAAAHr7/48=")</f>
        <v>#REF!</v>
      </c>
      <c r="EO29" t="e">
        <f>AND(#REF!,"AAAAAHr7/5A=")</f>
        <v>#REF!</v>
      </c>
      <c r="EP29" t="e">
        <f>AND(#REF!,"AAAAAHr7/5E=")</f>
        <v>#REF!</v>
      </c>
      <c r="EQ29" t="e">
        <f>AND(#REF!,"AAAAAHr7/5I=")</f>
        <v>#REF!</v>
      </c>
      <c r="ER29" t="e">
        <f>AND(#REF!,"AAAAAHr7/5M=")</f>
        <v>#REF!</v>
      </c>
      <c r="ES29" t="e">
        <f>AND(#REF!,"AAAAAHr7/5Q=")</f>
        <v>#REF!</v>
      </c>
      <c r="ET29" t="e">
        <f>AND(#REF!,"AAAAAHr7/5U=")</f>
        <v>#REF!</v>
      </c>
      <c r="EU29" t="e">
        <f>IF(#REF!,"AAAAAHr7/5Y=",0)</f>
        <v>#REF!</v>
      </c>
      <c r="EV29" t="e">
        <f>AND(#REF!,"AAAAAHr7/5c=")</f>
        <v>#REF!</v>
      </c>
      <c r="EW29" t="e">
        <f>AND(#REF!,"AAAAAHr7/5g=")</f>
        <v>#REF!</v>
      </c>
      <c r="EX29" t="e">
        <f>AND(#REF!,"AAAAAHr7/5k=")</f>
        <v>#REF!</v>
      </c>
      <c r="EY29" t="e">
        <f>AND(#REF!,"AAAAAHr7/5o=")</f>
        <v>#REF!</v>
      </c>
      <c r="EZ29" t="e">
        <f>AND(#REF!,"AAAAAHr7/5s=")</f>
        <v>#REF!</v>
      </c>
      <c r="FA29" t="e">
        <f>AND(#REF!,"AAAAAHr7/5w=")</f>
        <v>#REF!</v>
      </c>
      <c r="FB29" t="e">
        <f>AND(#REF!,"AAAAAHr7/50=")</f>
        <v>#REF!</v>
      </c>
      <c r="FC29" t="e">
        <f>AND(#REF!,"AAAAAHr7/54=")</f>
        <v>#REF!</v>
      </c>
      <c r="FD29" t="e">
        <f>AND(#REF!,"AAAAAHr7/58=")</f>
        <v>#REF!</v>
      </c>
      <c r="FE29" t="e">
        <f>AND(#REF!,"AAAAAHr7/6A=")</f>
        <v>#REF!</v>
      </c>
      <c r="FF29" t="e">
        <f>AND(#REF!,"AAAAAHr7/6E=")</f>
        <v>#REF!</v>
      </c>
      <c r="FG29" t="e">
        <f>AND(#REF!,"AAAAAHr7/6I=")</f>
        <v>#REF!</v>
      </c>
      <c r="FH29" t="e">
        <f>AND(#REF!,"AAAAAHr7/6M=")</f>
        <v>#REF!</v>
      </c>
      <c r="FI29" t="e">
        <f>AND(#REF!,"AAAAAHr7/6Q=")</f>
        <v>#REF!</v>
      </c>
      <c r="FJ29" t="e">
        <f>AND(#REF!,"AAAAAHr7/6U=")</f>
        <v>#REF!</v>
      </c>
      <c r="FK29" t="e">
        <f>AND(#REF!,"AAAAAHr7/6Y=")</f>
        <v>#REF!</v>
      </c>
      <c r="FL29" t="e">
        <f>AND(#REF!,"AAAAAHr7/6c=")</f>
        <v>#REF!</v>
      </c>
      <c r="FM29" t="e">
        <f>AND(#REF!,"AAAAAHr7/6g=")</f>
        <v>#REF!</v>
      </c>
      <c r="FN29" t="e">
        <f>AND(#REF!,"AAAAAHr7/6k=")</f>
        <v>#REF!</v>
      </c>
      <c r="FO29" t="e">
        <f>AND(#REF!,"AAAAAHr7/6o=")</f>
        <v>#REF!</v>
      </c>
      <c r="FP29" t="e">
        <f>AND(#REF!,"AAAAAHr7/6s=")</f>
        <v>#REF!</v>
      </c>
      <c r="FQ29" t="e">
        <f>AND(#REF!,"AAAAAHr7/6w=")</f>
        <v>#REF!</v>
      </c>
      <c r="FR29" t="e">
        <f>AND(#REF!,"AAAAAHr7/60=")</f>
        <v>#REF!</v>
      </c>
      <c r="FS29" t="e">
        <f>IF(#REF!,"AAAAAHr7/64=",0)</f>
        <v>#REF!</v>
      </c>
      <c r="FT29" t="e">
        <f>AND(#REF!,"AAAAAHr7/68=")</f>
        <v>#REF!</v>
      </c>
      <c r="FU29" t="e">
        <f>AND(#REF!,"AAAAAHr7/7A=")</f>
        <v>#REF!</v>
      </c>
      <c r="FV29" t="e">
        <f>AND(#REF!,"AAAAAHr7/7E=")</f>
        <v>#REF!</v>
      </c>
      <c r="FW29" t="e">
        <f>AND(#REF!,"AAAAAHr7/7I=")</f>
        <v>#REF!</v>
      </c>
      <c r="FX29" t="e">
        <f>AND(#REF!,"AAAAAHr7/7M=")</f>
        <v>#REF!</v>
      </c>
      <c r="FY29" t="e">
        <f>AND(#REF!,"AAAAAHr7/7Q=")</f>
        <v>#REF!</v>
      </c>
      <c r="FZ29" t="e">
        <f>AND(#REF!,"AAAAAHr7/7U=")</f>
        <v>#REF!</v>
      </c>
      <c r="GA29" t="e">
        <f>AND(#REF!,"AAAAAHr7/7Y=")</f>
        <v>#REF!</v>
      </c>
      <c r="GB29" t="e">
        <f>AND(#REF!,"AAAAAHr7/7c=")</f>
        <v>#REF!</v>
      </c>
      <c r="GC29" t="e">
        <f>AND(#REF!,"AAAAAHr7/7g=")</f>
        <v>#REF!</v>
      </c>
      <c r="GD29" t="e">
        <f>AND(#REF!,"AAAAAHr7/7k=")</f>
        <v>#REF!</v>
      </c>
      <c r="GE29" t="e">
        <f>AND(#REF!,"AAAAAHr7/7o=")</f>
        <v>#REF!</v>
      </c>
      <c r="GF29" t="e">
        <f>AND(#REF!,"AAAAAHr7/7s=")</f>
        <v>#REF!</v>
      </c>
      <c r="GG29" t="e">
        <f>AND(#REF!,"AAAAAHr7/7w=")</f>
        <v>#REF!</v>
      </c>
      <c r="GH29" t="e">
        <f>AND(#REF!,"AAAAAHr7/70=")</f>
        <v>#REF!</v>
      </c>
      <c r="GI29" t="e">
        <f>AND(#REF!,"AAAAAHr7/74=")</f>
        <v>#REF!</v>
      </c>
      <c r="GJ29" t="e">
        <f>AND(#REF!,"AAAAAHr7/78=")</f>
        <v>#REF!</v>
      </c>
      <c r="GK29" t="e">
        <f>AND(#REF!,"AAAAAHr7/8A=")</f>
        <v>#REF!</v>
      </c>
      <c r="GL29" t="e">
        <f>AND(#REF!,"AAAAAHr7/8E=")</f>
        <v>#REF!</v>
      </c>
      <c r="GM29" t="e">
        <f>AND(#REF!,"AAAAAHr7/8I=")</f>
        <v>#REF!</v>
      </c>
      <c r="GN29" t="e">
        <f>AND(#REF!,"AAAAAHr7/8M=")</f>
        <v>#REF!</v>
      </c>
      <c r="GO29" t="e">
        <f>AND(#REF!,"AAAAAHr7/8Q=")</f>
        <v>#REF!</v>
      </c>
      <c r="GP29" t="e">
        <f>AND(#REF!,"AAAAAHr7/8U=")</f>
        <v>#REF!</v>
      </c>
      <c r="GQ29" t="e">
        <f>IF(#REF!,"AAAAAHr7/8Y=",0)</f>
        <v>#REF!</v>
      </c>
      <c r="GR29" t="e">
        <f>AND(#REF!,"AAAAAHr7/8c=")</f>
        <v>#REF!</v>
      </c>
      <c r="GS29" t="e">
        <f>AND(#REF!,"AAAAAHr7/8g=")</f>
        <v>#REF!</v>
      </c>
      <c r="GT29" t="e">
        <f>AND(#REF!,"AAAAAHr7/8k=")</f>
        <v>#REF!</v>
      </c>
      <c r="GU29" t="e">
        <f>AND(#REF!,"AAAAAHr7/8o=")</f>
        <v>#REF!</v>
      </c>
      <c r="GV29" t="e">
        <f>AND(#REF!,"AAAAAHr7/8s=")</f>
        <v>#REF!</v>
      </c>
      <c r="GW29" t="e">
        <f>AND(#REF!,"AAAAAHr7/8w=")</f>
        <v>#REF!</v>
      </c>
      <c r="GX29" t="e">
        <f>AND(#REF!,"AAAAAHr7/80=")</f>
        <v>#REF!</v>
      </c>
      <c r="GY29" t="e">
        <f>AND(#REF!,"AAAAAHr7/84=")</f>
        <v>#REF!</v>
      </c>
      <c r="GZ29" t="e">
        <f>AND(#REF!,"AAAAAHr7/88=")</f>
        <v>#REF!</v>
      </c>
      <c r="HA29" t="e">
        <f>AND(#REF!,"AAAAAHr7/9A=")</f>
        <v>#REF!</v>
      </c>
      <c r="HB29" t="e">
        <f>AND(#REF!,"AAAAAHr7/9E=")</f>
        <v>#REF!</v>
      </c>
      <c r="HC29" t="e">
        <f>AND(#REF!,"AAAAAHr7/9I=")</f>
        <v>#REF!</v>
      </c>
      <c r="HD29" t="e">
        <f>AND(#REF!,"AAAAAHr7/9M=")</f>
        <v>#REF!</v>
      </c>
      <c r="HE29" t="e">
        <f>AND(#REF!,"AAAAAHr7/9Q=")</f>
        <v>#REF!</v>
      </c>
      <c r="HF29" t="e">
        <f>AND(#REF!,"AAAAAHr7/9U=")</f>
        <v>#REF!</v>
      </c>
      <c r="HG29" t="e">
        <f>AND(#REF!,"AAAAAHr7/9Y=")</f>
        <v>#REF!</v>
      </c>
      <c r="HH29" t="e">
        <f>AND(#REF!,"AAAAAHr7/9c=")</f>
        <v>#REF!</v>
      </c>
      <c r="HI29" t="e">
        <f>AND(#REF!,"AAAAAHr7/9g=")</f>
        <v>#REF!</v>
      </c>
      <c r="HJ29" t="e">
        <f>AND(#REF!,"AAAAAHr7/9k=")</f>
        <v>#REF!</v>
      </c>
      <c r="HK29" t="e">
        <f>AND(#REF!,"AAAAAHr7/9o=")</f>
        <v>#REF!</v>
      </c>
      <c r="HL29" t="e">
        <f>AND(#REF!,"AAAAAHr7/9s=")</f>
        <v>#REF!</v>
      </c>
      <c r="HM29" t="e">
        <f>AND(#REF!,"AAAAAHr7/9w=")</f>
        <v>#REF!</v>
      </c>
      <c r="HN29" t="e">
        <f>AND(#REF!,"AAAAAHr7/90=")</f>
        <v>#REF!</v>
      </c>
      <c r="HO29" t="e">
        <f>IF(#REF!,"AAAAAHr7/94=",0)</f>
        <v>#REF!</v>
      </c>
      <c r="HP29" t="e">
        <f>AND(#REF!,"AAAAAHr7/98=")</f>
        <v>#REF!</v>
      </c>
      <c r="HQ29" t="e">
        <f>AND(#REF!,"AAAAAHr7/+A=")</f>
        <v>#REF!</v>
      </c>
      <c r="HR29" t="e">
        <f>AND(#REF!,"AAAAAHr7/+E=")</f>
        <v>#REF!</v>
      </c>
      <c r="HS29" t="e">
        <f>AND(#REF!,"AAAAAHr7/+I=")</f>
        <v>#REF!</v>
      </c>
      <c r="HT29" t="e">
        <f>AND(#REF!,"AAAAAHr7/+M=")</f>
        <v>#REF!</v>
      </c>
      <c r="HU29" t="e">
        <f>AND(#REF!,"AAAAAHr7/+Q=")</f>
        <v>#REF!</v>
      </c>
      <c r="HV29" t="e">
        <f>AND(#REF!,"AAAAAHr7/+U=")</f>
        <v>#REF!</v>
      </c>
      <c r="HW29" t="e">
        <f>AND(#REF!,"AAAAAHr7/+Y=")</f>
        <v>#REF!</v>
      </c>
      <c r="HX29" t="e">
        <f>AND(#REF!,"AAAAAHr7/+c=")</f>
        <v>#REF!</v>
      </c>
      <c r="HY29" t="e">
        <f>AND(#REF!,"AAAAAHr7/+g=")</f>
        <v>#REF!</v>
      </c>
      <c r="HZ29" t="e">
        <f>AND(#REF!,"AAAAAHr7/+k=")</f>
        <v>#REF!</v>
      </c>
      <c r="IA29" t="e">
        <f>AND(#REF!,"AAAAAHr7/+o=")</f>
        <v>#REF!</v>
      </c>
      <c r="IB29" t="e">
        <f>AND(#REF!,"AAAAAHr7/+s=")</f>
        <v>#REF!</v>
      </c>
      <c r="IC29" t="e">
        <f>AND(#REF!,"AAAAAHr7/+w=")</f>
        <v>#REF!</v>
      </c>
      <c r="ID29" t="e">
        <f>AND(#REF!,"AAAAAHr7/+0=")</f>
        <v>#REF!</v>
      </c>
      <c r="IE29" t="e">
        <f>AND(#REF!,"AAAAAHr7/+4=")</f>
        <v>#REF!</v>
      </c>
      <c r="IF29" t="e">
        <f>AND(#REF!,"AAAAAHr7/+8=")</f>
        <v>#REF!</v>
      </c>
      <c r="IG29" t="e">
        <f>AND(#REF!,"AAAAAHr7//A=")</f>
        <v>#REF!</v>
      </c>
      <c r="IH29" t="e">
        <f>AND(#REF!,"AAAAAHr7//E=")</f>
        <v>#REF!</v>
      </c>
      <c r="II29" t="e">
        <f>AND(#REF!,"AAAAAHr7//I=")</f>
        <v>#REF!</v>
      </c>
      <c r="IJ29" t="e">
        <f>AND(#REF!,"AAAAAHr7//M=")</f>
        <v>#REF!</v>
      </c>
      <c r="IK29" t="e">
        <f>AND(#REF!,"AAAAAHr7//Q=")</f>
        <v>#REF!</v>
      </c>
      <c r="IL29" t="e">
        <f>AND(#REF!,"AAAAAHr7//U=")</f>
        <v>#REF!</v>
      </c>
      <c r="IM29" t="e">
        <f>IF(#REF!,"AAAAAHr7//Y=",0)</f>
        <v>#REF!</v>
      </c>
      <c r="IN29" t="e">
        <f>AND(#REF!,"AAAAAHr7//c=")</f>
        <v>#REF!</v>
      </c>
      <c r="IO29" t="e">
        <f>AND(#REF!,"AAAAAHr7//g=")</f>
        <v>#REF!</v>
      </c>
      <c r="IP29" t="e">
        <f>AND(#REF!,"AAAAAHr7//k=")</f>
        <v>#REF!</v>
      </c>
      <c r="IQ29" t="e">
        <f>AND(#REF!,"AAAAAHr7//o=")</f>
        <v>#REF!</v>
      </c>
      <c r="IR29" t="e">
        <f>AND(#REF!,"AAAAAHr7//s=")</f>
        <v>#REF!</v>
      </c>
      <c r="IS29" t="e">
        <f>AND(#REF!,"AAAAAHr7//w=")</f>
        <v>#REF!</v>
      </c>
      <c r="IT29" t="e">
        <f>AND(#REF!,"AAAAAHr7//0=")</f>
        <v>#REF!</v>
      </c>
      <c r="IU29" t="e">
        <f>AND(#REF!,"AAAAAHr7//4=")</f>
        <v>#REF!</v>
      </c>
      <c r="IV29" t="e">
        <f>AND(#REF!,"AAAAAHr7//8=")</f>
        <v>#REF!</v>
      </c>
    </row>
    <row r="30" spans="1:256" x14ac:dyDescent="0.25">
      <c r="A30" t="e">
        <f>AND(#REF!,"AAAAAH/m/wA=")</f>
        <v>#REF!</v>
      </c>
      <c r="B30" t="e">
        <f>AND(#REF!,"AAAAAH/m/wE=")</f>
        <v>#REF!</v>
      </c>
      <c r="C30" t="e">
        <f>AND(#REF!,"AAAAAH/m/wI=")</f>
        <v>#REF!</v>
      </c>
      <c r="D30" t="e">
        <f>AND(#REF!,"AAAAAH/m/wM=")</f>
        <v>#REF!</v>
      </c>
      <c r="E30" t="e">
        <f>AND(#REF!,"AAAAAH/m/wQ=")</f>
        <v>#REF!</v>
      </c>
      <c r="F30" t="e">
        <f>AND(#REF!,"AAAAAH/m/wU=")</f>
        <v>#REF!</v>
      </c>
      <c r="G30" t="e">
        <f>AND(#REF!,"AAAAAH/m/wY=")</f>
        <v>#REF!</v>
      </c>
      <c r="H30" t="e">
        <f>AND(#REF!,"AAAAAH/m/wc=")</f>
        <v>#REF!</v>
      </c>
      <c r="I30" t="e">
        <f>AND(#REF!,"AAAAAH/m/wg=")</f>
        <v>#REF!</v>
      </c>
      <c r="J30" t="e">
        <f>AND(#REF!,"AAAAAH/m/wk=")</f>
        <v>#REF!</v>
      </c>
      <c r="K30" t="e">
        <f>AND(#REF!,"AAAAAH/m/wo=")</f>
        <v>#REF!</v>
      </c>
      <c r="L30" t="e">
        <f>AND(#REF!,"AAAAAH/m/ws=")</f>
        <v>#REF!</v>
      </c>
      <c r="M30" t="e">
        <f>AND(#REF!,"AAAAAH/m/ww=")</f>
        <v>#REF!</v>
      </c>
      <c r="N30" t="e">
        <f>AND(#REF!,"AAAAAH/m/w0=")</f>
        <v>#REF!</v>
      </c>
      <c r="O30" t="e">
        <f>IF(#REF!,"AAAAAH/m/w4=",0)</f>
        <v>#REF!</v>
      </c>
      <c r="P30" t="e">
        <f>AND(#REF!,"AAAAAH/m/w8=")</f>
        <v>#REF!</v>
      </c>
      <c r="Q30" t="e">
        <f>AND(#REF!,"AAAAAH/m/xA=")</f>
        <v>#REF!</v>
      </c>
      <c r="R30" t="e">
        <f>AND(#REF!,"AAAAAH/m/xE=")</f>
        <v>#REF!</v>
      </c>
      <c r="S30" t="e">
        <f>AND(#REF!,"AAAAAH/m/xI=")</f>
        <v>#REF!</v>
      </c>
      <c r="T30" t="e">
        <f>AND(#REF!,"AAAAAH/m/xM=")</f>
        <v>#REF!</v>
      </c>
      <c r="U30" t="e">
        <f>AND(#REF!,"AAAAAH/m/xQ=")</f>
        <v>#REF!</v>
      </c>
      <c r="V30" t="e">
        <f>AND(#REF!,"AAAAAH/m/xU=")</f>
        <v>#REF!</v>
      </c>
      <c r="W30" t="e">
        <f>AND(#REF!,"AAAAAH/m/xY=")</f>
        <v>#REF!</v>
      </c>
      <c r="X30" t="e">
        <f>AND(#REF!,"AAAAAH/m/xc=")</f>
        <v>#REF!</v>
      </c>
      <c r="Y30" t="e">
        <f>AND(#REF!,"AAAAAH/m/xg=")</f>
        <v>#REF!</v>
      </c>
      <c r="Z30" t="e">
        <f>AND(#REF!,"AAAAAH/m/xk=")</f>
        <v>#REF!</v>
      </c>
      <c r="AA30" t="e">
        <f>AND(#REF!,"AAAAAH/m/xo=")</f>
        <v>#REF!</v>
      </c>
      <c r="AB30" t="e">
        <f>AND(#REF!,"AAAAAH/m/xs=")</f>
        <v>#REF!</v>
      </c>
      <c r="AC30" t="e">
        <f>AND(#REF!,"AAAAAH/m/xw=")</f>
        <v>#REF!</v>
      </c>
      <c r="AD30" t="e">
        <f>AND(#REF!,"AAAAAH/m/x0=")</f>
        <v>#REF!</v>
      </c>
      <c r="AE30" t="e">
        <f>AND(#REF!,"AAAAAH/m/x4=")</f>
        <v>#REF!</v>
      </c>
      <c r="AF30" t="e">
        <f>AND(#REF!,"AAAAAH/m/x8=")</f>
        <v>#REF!</v>
      </c>
      <c r="AG30" t="e">
        <f>AND(#REF!,"AAAAAH/m/yA=")</f>
        <v>#REF!</v>
      </c>
      <c r="AH30" t="e">
        <f>AND(#REF!,"AAAAAH/m/yE=")</f>
        <v>#REF!</v>
      </c>
      <c r="AI30" t="e">
        <f>AND(#REF!,"AAAAAH/m/yI=")</f>
        <v>#REF!</v>
      </c>
      <c r="AJ30" t="e">
        <f>AND(#REF!,"AAAAAH/m/yM=")</f>
        <v>#REF!</v>
      </c>
      <c r="AK30" t="e">
        <f>AND(#REF!,"AAAAAH/m/yQ=")</f>
        <v>#REF!</v>
      </c>
      <c r="AL30" t="e">
        <f>AND(#REF!,"AAAAAH/m/yU=")</f>
        <v>#REF!</v>
      </c>
      <c r="AM30" t="e">
        <f>IF(#REF!,"AAAAAH/m/yY=",0)</f>
        <v>#REF!</v>
      </c>
      <c r="AN30" t="e">
        <f>AND(#REF!,"AAAAAH/m/yc=")</f>
        <v>#REF!</v>
      </c>
      <c r="AO30" t="e">
        <f>AND(#REF!,"AAAAAH/m/yg=")</f>
        <v>#REF!</v>
      </c>
      <c r="AP30" t="e">
        <f>AND(#REF!,"AAAAAH/m/yk=")</f>
        <v>#REF!</v>
      </c>
      <c r="AQ30" t="e">
        <f>AND(#REF!,"AAAAAH/m/yo=")</f>
        <v>#REF!</v>
      </c>
      <c r="AR30" t="e">
        <f>AND(#REF!,"AAAAAH/m/ys=")</f>
        <v>#REF!</v>
      </c>
      <c r="AS30" t="e">
        <f>AND(#REF!,"AAAAAH/m/yw=")</f>
        <v>#REF!</v>
      </c>
      <c r="AT30" t="e">
        <f>AND(#REF!,"AAAAAH/m/y0=")</f>
        <v>#REF!</v>
      </c>
      <c r="AU30" t="e">
        <f>AND(#REF!,"AAAAAH/m/y4=")</f>
        <v>#REF!</v>
      </c>
      <c r="AV30" t="e">
        <f>AND(#REF!,"AAAAAH/m/y8=")</f>
        <v>#REF!</v>
      </c>
      <c r="AW30" t="e">
        <f>AND(#REF!,"AAAAAH/m/zA=")</f>
        <v>#REF!</v>
      </c>
      <c r="AX30" t="e">
        <f>AND(#REF!,"AAAAAH/m/zE=")</f>
        <v>#REF!</v>
      </c>
      <c r="AY30" t="e">
        <f>AND(#REF!,"AAAAAH/m/zI=")</f>
        <v>#REF!</v>
      </c>
      <c r="AZ30" t="e">
        <f>AND(#REF!,"AAAAAH/m/zM=")</f>
        <v>#REF!</v>
      </c>
      <c r="BA30" t="e">
        <f>AND(#REF!,"AAAAAH/m/zQ=")</f>
        <v>#REF!</v>
      </c>
      <c r="BB30" t="e">
        <f>AND(#REF!,"AAAAAH/m/zU=")</f>
        <v>#REF!</v>
      </c>
      <c r="BC30" t="e">
        <f>AND(#REF!,"AAAAAH/m/zY=")</f>
        <v>#REF!</v>
      </c>
      <c r="BD30" t="e">
        <f>AND(#REF!,"AAAAAH/m/zc=")</f>
        <v>#REF!</v>
      </c>
      <c r="BE30" t="e">
        <f>AND(#REF!,"AAAAAH/m/zg=")</f>
        <v>#REF!</v>
      </c>
      <c r="BF30" t="e">
        <f>AND(#REF!,"AAAAAH/m/zk=")</f>
        <v>#REF!</v>
      </c>
      <c r="BG30" t="e">
        <f>AND(#REF!,"AAAAAH/m/zo=")</f>
        <v>#REF!</v>
      </c>
      <c r="BH30" t="e">
        <f>AND(#REF!,"AAAAAH/m/zs=")</f>
        <v>#REF!</v>
      </c>
      <c r="BI30" t="e">
        <f>AND(#REF!,"AAAAAH/m/zw=")</f>
        <v>#REF!</v>
      </c>
      <c r="BJ30" t="e">
        <f>AND(#REF!,"AAAAAH/m/z0=")</f>
        <v>#REF!</v>
      </c>
      <c r="BK30" t="e">
        <f>IF(#REF!,"AAAAAH/m/z4=",0)</f>
        <v>#REF!</v>
      </c>
      <c r="BL30" t="e">
        <f>AND(#REF!,"AAAAAH/m/z8=")</f>
        <v>#REF!</v>
      </c>
      <c r="BM30" t="e">
        <f>AND(#REF!,"AAAAAH/m/0A=")</f>
        <v>#REF!</v>
      </c>
      <c r="BN30" t="e">
        <f>AND(#REF!,"AAAAAH/m/0E=")</f>
        <v>#REF!</v>
      </c>
      <c r="BO30" t="e">
        <f>AND(#REF!,"AAAAAH/m/0I=")</f>
        <v>#REF!</v>
      </c>
      <c r="BP30" t="e">
        <f>AND(#REF!,"AAAAAH/m/0M=")</f>
        <v>#REF!</v>
      </c>
      <c r="BQ30" t="e">
        <f>AND(#REF!,"AAAAAH/m/0Q=")</f>
        <v>#REF!</v>
      </c>
      <c r="BR30" t="e">
        <f>AND(#REF!,"AAAAAH/m/0U=")</f>
        <v>#REF!</v>
      </c>
      <c r="BS30" t="e">
        <f>AND(#REF!,"AAAAAH/m/0Y=")</f>
        <v>#REF!</v>
      </c>
      <c r="BT30" t="e">
        <f>AND(#REF!,"AAAAAH/m/0c=")</f>
        <v>#REF!</v>
      </c>
      <c r="BU30" t="e">
        <f>AND(#REF!,"AAAAAH/m/0g=")</f>
        <v>#REF!</v>
      </c>
      <c r="BV30" t="e">
        <f>AND(#REF!,"AAAAAH/m/0k=")</f>
        <v>#REF!</v>
      </c>
      <c r="BW30" t="e">
        <f>AND(#REF!,"AAAAAH/m/0o=")</f>
        <v>#REF!</v>
      </c>
      <c r="BX30" t="e">
        <f>AND(#REF!,"AAAAAH/m/0s=")</f>
        <v>#REF!</v>
      </c>
      <c r="BY30" t="e">
        <f>AND(#REF!,"AAAAAH/m/0w=")</f>
        <v>#REF!</v>
      </c>
      <c r="BZ30" t="e">
        <f>AND(#REF!,"AAAAAH/m/00=")</f>
        <v>#REF!</v>
      </c>
      <c r="CA30" t="e">
        <f>AND(#REF!,"AAAAAH/m/04=")</f>
        <v>#REF!</v>
      </c>
      <c r="CB30" t="e">
        <f>AND(#REF!,"AAAAAH/m/08=")</f>
        <v>#REF!</v>
      </c>
      <c r="CC30" t="e">
        <f>AND(#REF!,"AAAAAH/m/1A=")</f>
        <v>#REF!</v>
      </c>
      <c r="CD30" t="e">
        <f>AND(#REF!,"AAAAAH/m/1E=")</f>
        <v>#REF!</v>
      </c>
      <c r="CE30" t="e">
        <f>AND(#REF!,"AAAAAH/m/1I=")</f>
        <v>#REF!</v>
      </c>
      <c r="CF30" t="e">
        <f>AND(#REF!,"AAAAAH/m/1M=")</f>
        <v>#REF!</v>
      </c>
      <c r="CG30" t="e">
        <f>AND(#REF!,"AAAAAH/m/1Q=")</f>
        <v>#REF!</v>
      </c>
      <c r="CH30" t="e">
        <f>AND(#REF!,"AAAAAH/m/1U=")</f>
        <v>#REF!</v>
      </c>
      <c r="CI30" t="e">
        <f>IF(#REF!,"AAAAAH/m/1Y=",0)</f>
        <v>#REF!</v>
      </c>
      <c r="CJ30" t="e">
        <f>AND(#REF!,"AAAAAH/m/1c=")</f>
        <v>#REF!</v>
      </c>
      <c r="CK30" t="e">
        <f>AND(#REF!,"AAAAAH/m/1g=")</f>
        <v>#REF!</v>
      </c>
      <c r="CL30" t="e">
        <f>AND(#REF!,"AAAAAH/m/1k=")</f>
        <v>#REF!</v>
      </c>
      <c r="CM30" t="e">
        <f>AND(#REF!,"AAAAAH/m/1o=")</f>
        <v>#REF!</v>
      </c>
      <c r="CN30" t="e">
        <f>AND(#REF!,"AAAAAH/m/1s=")</f>
        <v>#REF!</v>
      </c>
      <c r="CO30" t="e">
        <f>AND(#REF!,"AAAAAH/m/1w=")</f>
        <v>#REF!</v>
      </c>
      <c r="CP30" t="e">
        <f>AND(#REF!,"AAAAAH/m/10=")</f>
        <v>#REF!</v>
      </c>
      <c r="CQ30" t="e">
        <f>AND(#REF!,"AAAAAH/m/14=")</f>
        <v>#REF!</v>
      </c>
      <c r="CR30" t="e">
        <f>AND(#REF!,"AAAAAH/m/18=")</f>
        <v>#REF!</v>
      </c>
      <c r="CS30" t="e">
        <f>AND(#REF!,"AAAAAH/m/2A=")</f>
        <v>#REF!</v>
      </c>
      <c r="CT30" t="e">
        <f>AND(#REF!,"AAAAAH/m/2E=")</f>
        <v>#REF!</v>
      </c>
      <c r="CU30" t="e">
        <f>AND(#REF!,"AAAAAH/m/2I=")</f>
        <v>#REF!</v>
      </c>
      <c r="CV30" t="e">
        <f>AND(#REF!,"AAAAAH/m/2M=")</f>
        <v>#REF!</v>
      </c>
      <c r="CW30" t="e">
        <f>AND(#REF!,"AAAAAH/m/2Q=")</f>
        <v>#REF!</v>
      </c>
      <c r="CX30" t="e">
        <f>AND(#REF!,"AAAAAH/m/2U=")</f>
        <v>#REF!</v>
      </c>
      <c r="CY30" t="e">
        <f>AND(#REF!,"AAAAAH/m/2Y=")</f>
        <v>#REF!</v>
      </c>
      <c r="CZ30" t="e">
        <f>AND(#REF!,"AAAAAH/m/2c=")</f>
        <v>#REF!</v>
      </c>
      <c r="DA30" t="e">
        <f>AND(#REF!,"AAAAAH/m/2g=")</f>
        <v>#REF!</v>
      </c>
      <c r="DB30" t="e">
        <f>AND(#REF!,"AAAAAH/m/2k=")</f>
        <v>#REF!</v>
      </c>
      <c r="DC30" t="e">
        <f>AND(#REF!,"AAAAAH/m/2o=")</f>
        <v>#REF!</v>
      </c>
      <c r="DD30" t="e">
        <f>AND(#REF!,"AAAAAH/m/2s=")</f>
        <v>#REF!</v>
      </c>
      <c r="DE30" t="e">
        <f>AND(#REF!,"AAAAAH/m/2w=")</f>
        <v>#REF!</v>
      </c>
      <c r="DF30" t="e">
        <f>AND(#REF!,"AAAAAH/m/20=")</f>
        <v>#REF!</v>
      </c>
      <c r="DG30" t="e">
        <f>IF(#REF!,"AAAAAH/m/24=",0)</f>
        <v>#REF!</v>
      </c>
      <c r="DH30" t="e">
        <f>AND(#REF!,"AAAAAH/m/28=")</f>
        <v>#REF!</v>
      </c>
      <c r="DI30" t="e">
        <f>AND(#REF!,"AAAAAH/m/3A=")</f>
        <v>#REF!</v>
      </c>
      <c r="DJ30" t="e">
        <f>AND(#REF!,"AAAAAH/m/3E=")</f>
        <v>#REF!</v>
      </c>
      <c r="DK30" t="e">
        <f>AND(#REF!,"AAAAAH/m/3I=")</f>
        <v>#REF!</v>
      </c>
      <c r="DL30" t="e">
        <f>AND(#REF!,"AAAAAH/m/3M=")</f>
        <v>#REF!</v>
      </c>
      <c r="DM30" t="e">
        <f>AND(#REF!,"AAAAAH/m/3Q=")</f>
        <v>#REF!</v>
      </c>
      <c r="DN30" t="e">
        <f>AND(#REF!,"AAAAAH/m/3U=")</f>
        <v>#REF!</v>
      </c>
      <c r="DO30" t="e">
        <f>AND(#REF!,"AAAAAH/m/3Y=")</f>
        <v>#REF!</v>
      </c>
      <c r="DP30" t="e">
        <f>AND(#REF!,"AAAAAH/m/3c=")</f>
        <v>#REF!</v>
      </c>
      <c r="DQ30" t="e">
        <f>AND(#REF!,"AAAAAH/m/3g=")</f>
        <v>#REF!</v>
      </c>
      <c r="DR30" t="e">
        <f>AND(#REF!,"AAAAAH/m/3k=")</f>
        <v>#REF!</v>
      </c>
      <c r="DS30" t="e">
        <f>AND(#REF!,"AAAAAH/m/3o=")</f>
        <v>#REF!</v>
      </c>
      <c r="DT30" t="e">
        <f>AND(#REF!,"AAAAAH/m/3s=")</f>
        <v>#REF!</v>
      </c>
      <c r="DU30" t="e">
        <f>AND(#REF!,"AAAAAH/m/3w=")</f>
        <v>#REF!</v>
      </c>
      <c r="DV30" t="e">
        <f>AND(#REF!,"AAAAAH/m/30=")</f>
        <v>#REF!</v>
      </c>
      <c r="DW30" t="e">
        <f>AND(#REF!,"AAAAAH/m/34=")</f>
        <v>#REF!</v>
      </c>
      <c r="DX30" t="e">
        <f>AND(#REF!,"AAAAAH/m/38=")</f>
        <v>#REF!</v>
      </c>
      <c r="DY30" t="e">
        <f>AND(#REF!,"AAAAAH/m/4A=")</f>
        <v>#REF!</v>
      </c>
      <c r="DZ30" t="e">
        <f>AND(#REF!,"AAAAAH/m/4E=")</f>
        <v>#REF!</v>
      </c>
      <c r="EA30" t="e">
        <f>AND(#REF!,"AAAAAH/m/4I=")</f>
        <v>#REF!</v>
      </c>
      <c r="EB30" t="e">
        <f>AND(#REF!,"AAAAAH/m/4M=")</f>
        <v>#REF!</v>
      </c>
      <c r="EC30" t="e">
        <f>AND(#REF!,"AAAAAH/m/4Q=")</f>
        <v>#REF!</v>
      </c>
      <c r="ED30" t="e">
        <f>AND(#REF!,"AAAAAH/m/4U=")</f>
        <v>#REF!</v>
      </c>
      <c r="EE30" t="e">
        <f>IF(#REF!,"AAAAAH/m/4Y=",0)</f>
        <v>#REF!</v>
      </c>
      <c r="EF30" t="e">
        <f>AND(#REF!,"AAAAAH/m/4c=")</f>
        <v>#REF!</v>
      </c>
      <c r="EG30" t="e">
        <f>AND(#REF!,"AAAAAH/m/4g=")</f>
        <v>#REF!</v>
      </c>
      <c r="EH30" t="e">
        <f>AND(#REF!,"AAAAAH/m/4k=")</f>
        <v>#REF!</v>
      </c>
      <c r="EI30" t="e">
        <f>AND(#REF!,"AAAAAH/m/4o=")</f>
        <v>#REF!</v>
      </c>
      <c r="EJ30" t="e">
        <f>AND(#REF!,"AAAAAH/m/4s=")</f>
        <v>#REF!</v>
      </c>
      <c r="EK30" t="e">
        <f>AND(#REF!,"AAAAAH/m/4w=")</f>
        <v>#REF!</v>
      </c>
      <c r="EL30" t="e">
        <f>AND(#REF!,"AAAAAH/m/40=")</f>
        <v>#REF!</v>
      </c>
      <c r="EM30" t="e">
        <f>AND(#REF!,"AAAAAH/m/44=")</f>
        <v>#REF!</v>
      </c>
      <c r="EN30" t="e">
        <f>AND(#REF!,"AAAAAH/m/48=")</f>
        <v>#REF!</v>
      </c>
      <c r="EO30" t="e">
        <f>AND(#REF!,"AAAAAH/m/5A=")</f>
        <v>#REF!</v>
      </c>
      <c r="EP30" t="e">
        <f>AND(#REF!,"AAAAAH/m/5E=")</f>
        <v>#REF!</v>
      </c>
      <c r="EQ30" t="e">
        <f>AND(#REF!,"AAAAAH/m/5I=")</f>
        <v>#REF!</v>
      </c>
      <c r="ER30" t="e">
        <f>AND(#REF!,"AAAAAH/m/5M=")</f>
        <v>#REF!</v>
      </c>
      <c r="ES30" t="e">
        <f>AND(#REF!,"AAAAAH/m/5Q=")</f>
        <v>#REF!</v>
      </c>
      <c r="ET30" t="e">
        <f>AND(#REF!,"AAAAAH/m/5U=")</f>
        <v>#REF!</v>
      </c>
      <c r="EU30" t="e">
        <f>AND(#REF!,"AAAAAH/m/5Y=")</f>
        <v>#REF!</v>
      </c>
      <c r="EV30" t="e">
        <f>AND(#REF!,"AAAAAH/m/5c=")</f>
        <v>#REF!</v>
      </c>
      <c r="EW30" t="e">
        <f>AND(#REF!,"AAAAAH/m/5g=")</f>
        <v>#REF!</v>
      </c>
      <c r="EX30" t="e">
        <f>AND(#REF!,"AAAAAH/m/5k=")</f>
        <v>#REF!</v>
      </c>
      <c r="EY30" t="e">
        <f>AND(#REF!,"AAAAAH/m/5o=")</f>
        <v>#REF!</v>
      </c>
      <c r="EZ30" t="e">
        <f>AND(#REF!,"AAAAAH/m/5s=")</f>
        <v>#REF!</v>
      </c>
      <c r="FA30" t="e">
        <f>AND(#REF!,"AAAAAH/m/5w=")</f>
        <v>#REF!</v>
      </c>
      <c r="FB30" t="e">
        <f>AND(#REF!,"AAAAAH/m/50=")</f>
        <v>#REF!</v>
      </c>
      <c r="FC30" t="e">
        <f>IF(#REF!,"AAAAAH/m/54=",0)</f>
        <v>#REF!</v>
      </c>
      <c r="FD30" t="e">
        <f>AND(#REF!,"AAAAAH/m/58=")</f>
        <v>#REF!</v>
      </c>
      <c r="FE30" t="e">
        <f>AND(#REF!,"AAAAAH/m/6A=")</f>
        <v>#REF!</v>
      </c>
      <c r="FF30" t="e">
        <f>AND(#REF!,"AAAAAH/m/6E=")</f>
        <v>#REF!</v>
      </c>
      <c r="FG30" t="e">
        <f>AND(#REF!,"AAAAAH/m/6I=")</f>
        <v>#REF!</v>
      </c>
      <c r="FH30" t="e">
        <f>AND(#REF!,"AAAAAH/m/6M=")</f>
        <v>#REF!</v>
      </c>
      <c r="FI30" t="e">
        <f>AND(#REF!,"AAAAAH/m/6Q=")</f>
        <v>#REF!</v>
      </c>
      <c r="FJ30" t="e">
        <f>AND(#REF!,"AAAAAH/m/6U=")</f>
        <v>#REF!</v>
      </c>
      <c r="FK30" t="e">
        <f>AND(#REF!,"AAAAAH/m/6Y=")</f>
        <v>#REF!</v>
      </c>
      <c r="FL30" t="e">
        <f>AND(#REF!,"AAAAAH/m/6c=")</f>
        <v>#REF!</v>
      </c>
      <c r="FM30" t="e">
        <f>AND(#REF!,"AAAAAH/m/6g=")</f>
        <v>#REF!</v>
      </c>
      <c r="FN30" t="e">
        <f>AND(#REF!,"AAAAAH/m/6k=")</f>
        <v>#REF!</v>
      </c>
      <c r="FO30" t="e">
        <f>AND(#REF!,"AAAAAH/m/6o=")</f>
        <v>#REF!</v>
      </c>
      <c r="FP30" t="e">
        <f>AND(#REF!,"AAAAAH/m/6s=")</f>
        <v>#REF!</v>
      </c>
      <c r="FQ30" t="e">
        <f>AND(#REF!,"AAAAAH/m/6w=")</f>
        <v>#REF!</v>
      </c>
      <c r="FR30" t="e">
        <f>AND(#REF!,"AAAAAH/m/60=")</f>
        <v>#REF!</v>
      </c>
      <c r="FS30" t="e">
        <f>AND(#REF!,"AAAAAH/m/64=")</f>
        <v>#REF!</v>
      </c>
      <c r="FT30" t="e">
        <f>AND(#REF!,"AAAAAH/m/68=")</f>
        <v>#REF!</v>
      </c>
      <c r="FU30" t="e">
        <f>AND(#REF!,"AAAAAH/m/7A=")</f>
        <v>#REF!</v>
      </c>
      <c r="FV30" t="e">
        <f>AND(#REF!,"AAAAAH/m/7E=")</f>
        <v>#REF!</v>
      </c>
      <c r="FW30" t="e">
        <f>AND(#REF!,"AAAAAH/m/7I=")</f>
        <v>#REF!</v>
      </c>
      <c r="FX30" t="e">
        <f>AND(#REF!,"AAAAAH/m/7M=")</f>
        <v>#REF!</v>
      </c>
      <c r="FY30" t="e">
        <f>AND(#REF!,"AAAAAH/m/7Q=")</f>
        <v>#REF!</v>
      </c>
      <c r="FZ30" t="e">
        <f>AND(#REF!,"AAAAAH/m/7U=")</f>
        <v>#REF!</v>
      </c>
      <c r="GA30" t="e">
        <f>IF(#REF!,"AAAAAH/m/7Y=",0)</f>
        <v>#REF!</v>
      </c>
      <c r="GB30" t="e">
        <f>AND(#REF!,"AAAAAH/m/7c=")</f>
        <v>#REF!</v>
      </c>
      <c r="GC30" t="e">
        <f>AND(#REF!,"AAAAAH/m/7g=")</f>
        <v>#REF!</v>
      </c>
      <c r="GD30" t="e">
        <f>AND(#REF!,"AAAAAH/m/7k=")</f>
        <v>#REF!</v>
      </c>
      <c r="GE30" t="e">
        <f>AND(#REF!,"AAAAAH/m/7o=")</f>
        <v>#REF!</v>
      </c>
      <c r="GF30" t="e">
        <f>AND(#REF!,"AAAAAH/m/7s=")</f>
        <v>#REF!</v>
      </c>
      <c r="GG30" t="e">
        <f>AND(#REF!,"AAAAAH/m/7w=")</f>
        <v>#REF!</v>
      </c>
      <c r="GH30" t="e">
        <f>AND(#REF!,"AAAAAH/m/70=")</f>
        <v>#REF!</v>
      </c>
      <c r="GI30" t="e">
        <f>AND(#REF!,"AAAAAH/m/74=")</f>
        <v>#REF!</v>
      </c>
      <c r="GJ30" t="e">
        <f>AND(#REF!,"AAAAAH/m/78=")</f>
        <v>#REF!</v>
      </c>
      <c r="GK30" t="e">
        <f>AND(#REF!,"AAAAAH/m/8A=")</f>
        <v>#REF!</v>
      </c>
      <c r="GL30" t="e">
        <f>AND(#REF!,"AAAAAH/m/8E=")</f>
        <v>#REF!</v>
      </c>
      <c r="GM30" t="e">
        <f>AND(#REF!,"AAAAAH/m/8I=")</f>
        <v>#REF!</v>
      </c>
      <c r="GN30" t="e">
        <f>AND(#REF!,"AAAAAH/m/8M=")</f>
        <v>#REF!</v>
      </c>
      <c r="GO30" t="e">
        <f>AND(#REF!,"AAAAAH/m/8Q=")</f>
        <v>#REF!</v>
      </c>
      <c r="GP30" t="e">
        <f>AND(#REF!,"AAAAAH/m/8U=")</f>
        <v>#REF!</v>
      </c>
      <c r="GQ30" t="e">
        <f>AND(#REF!,"AAAAAH/m/8Y=")</f>
        <v>#REF!</v>
      </c>
      <c r="GR30" t="e">
        <f>AND(#REF!,"AAAAAH/m/8c=")</f>
        <v>#REF!</v>
      </c>
      <c r="GS30" t="e">
        <f>AND(#REF!,"AAAAAH/m/8g=")</f>
        <v>#REF!</v>
      </c>
      <c r="GT30" t="e">
        <f>AND(#REF!,"AAAAAH/m/8k=")</f>
        <v>#REF!</v>
      </c>
      <c r="GU30" t="e">
        <f>AND(#REF!,"AAAAAH/m/8o=")</f>
        <v>#REF!</v>
      </c>
      <c r="GV30" t="e">
        <f>AND(#REF!,"AAAAAH/m/8s=")</f>
        <v>#REF!</v>
      </c>
      <c r="GW30" t="e">
        <f>AND(#REF!,"AAAAAH/m/8w=")</f>
        <v>#REF!</v>
      </c>
      <c r="GX30" t="e">
        <f>AND(#REF!,"AAAAAH/m/80=")</f>
        <v>#REF!</v>
      </c>
      <c r="GY30" t="e">
        <f>IF(#REF!,"AAAAAH/m/84=",0)</f>
        <v>#REF!</v>
      </c>
      <c r="GZ30" t="e">
        <f>AND(#REF!,"AAAAAH/m/88=")</f>
        <v>#REF!</v>
      </c>
      <c r="HA30" t="e">
        <f>AND(#REF!,"AAAAAH/m/9A=")</f>
        <v>#REF!</v>
      </c>
      <c r="HB30" t="e">
        <f>AND(#REF!,"AAAAAH/m/9E=")</f>
        <v>#REF!</v>
      </c>
      <c r="HC30" t="e">
        <f>AND(#REF!,"AAAAAH/m/9I=")</f>
        <v>#REF!</v>
      </c>
      <c r="HD30" t="e">
        <f>AND(#REF!,"AAAAAH/m/9M=")</f>
        <v>#REF!</v>
      </c>
      <c r="HE30" t="e">
        <f>AND(#REF!,"AAAAAH/m/9Q=")</f>
        <v>#REF!</v>
      </c>
      <c r="HF30" t="e">
        <f>AND(#REF!,"AAAAAH/m/9U=")</f>
        <v>#REF!</v>
      </c>
      <c r="HG30" t="e">
        <f>AND(#REF!,"AAAAAH/m/9Y=")</f>
        <v>#REF!</v>
      </c>
      <c r="HH30" t="e">
        <f>AND(#REF!,"AAAAAH/m/9c=")</f>
        <v>#REF!</v>
      </c>
      <c r="HI30" t="e">
        <f>AND(#REF!,"AAAAAH/m/9g=")</f>
        <v>#REF!</v>
      </c>
      <c r="HJ30" t="e">
        <f>AND(#REF!,"AAAAAH/m/9k=")</f>
        <v>#REF!</v>
      </c>
      <c r="HK30" t="e">
        <f>AND(#REF!,"AAAAAH/m/9o=")</f>
        <v>#REF!</v>
      </c>
      <c r="HL30" t="e">
        <f>AND(#REF!,"AAAAAH/m/9s=")</f>
        <v>#REF!</v>
      </c>
      <c r="HM30" t="e">
        <f>AND(#REF!,"AAAAAH/m/9w=")</f>
        <v>#REF!</v>
      </c>
      <c r="HN30" t="e">
        <f>AND(#REF!,"AAAAAH/m/90=")</f>
        <v>#REF!</v>
      </c>
      <c r="HO30" t="e">
        <f>AND(#REF!,"AAAAAH/m/94=")</f>
        <v>#REF!</v>
      </c>
      <c r="HP30" t="e">
        <f>AND(#REF!,"AAAAAH/m/98=")</f>
        <v>#REF!</v>
      </c>
      <c r="HQ30" t="e">
        <f>AND(#REF!,"AAAAAH/m/+A=")</f>
        <v>#REF!</v>
      </c>
      <c r="HR30" t="e">
        <f>AND(#REF!,"AAAAAH/m/+E=")</f>
        <v>#REF!</v>
      </c>
      <c r="HS30" t="e">
        <f>AND(#REF!,"AAAAAH/m/+I=")</f>
        <v>#REF!</v>
      </c>
      <c r="HT30" t="e">
        <f>AND(#REF!,"AAAAAH/m/+M=")</f>
        <v>#REF!</v>
      </c>
      <c r="HU30" t="e">
        <f>AND(#REF!,"AAAAAH/m/+Q=")</f>
        <v>#REF!</v>
      </c>
      <c r="HV30" t="e">
        <f>AND(#REF!,"AAAAAH/m/+U=")</f>
        <v>#REF!</v>
      </c>
      <c r="HW30" t="e">
        <f>IF(#REF!,"AAAAAH/m/+Y=",0)</f>
        <v>#REF!</v>
      </c>
      <c r="HX30" t="e">
        <f>AND(#REF!,"AAAAAH/m/+c=")</f>
        <v>#REF!</v>
      </c>
      <c r="HY30" t="e">
        <f>AND(#REF!,"AAAAAH/m/+g=")</f>
        <v>#REF!</v>
      </c>
      <c r="HZ30" t="e">
        <f>AND(#REF!,"AAAAAH/m/+k=")</f>
        <v>#REF!</v>
      </c>
      <c r="IA30" t="e">
        <f>AND(#REF!,"AAAAAH/m/+o=")</f>
        <v>#REF!</v>
      </c>
      <c r="IB30" t="e">
        <f>AND(#REF!,"AAAAAH/m/+s=")</f>
        <v>#REF!</v>
      </c>
      <c r="IC30" t="e">
        <f>AND(#REF!,"AAAAAH/m/+w=")</f>
        <v>#REF!</v>
      </c>
      <c r="ID30" t="e">
        <f>AND(#REF!,"AAAAAH/m/+0=")</f>
        <v>#REF!</v>
      </c>
      <c r="IE30" t="e">
        <f>AND(#REF!,"AAAAAH/m/+4=")</f>
        <v>#REF!</v>
      </c>
      <c r="IF30" t="e">
        <f>AND(#REF!,"AAAAAH/m/+8=")</f>
        <v>#REF!</v>
      </c>
      <c r="IG30" t="e">
        <f>AND(#REF!,"AAAAAH/m//A=")</f>
        <v>#REF!</v>
      </c>
      <c r="IH30" t="e">
        <f>AND(#REF!,"AAAAAH/m//E=")</f>
        <v>#REF!</v>
      </c>
      <c r="II30" t="e">
        <f>AND(#REF!,"AAAAAH/m//I=")</f>
        <v>#REF!</v>
      </c>
      <c r="IJ30" t="e">
        <f>AND(#REF!,"AAAAAH/m//M=")</f>
        <v>#REF!</v>
      </c>
      <c r="IK30" t="e">
        <f>AND(#REF!,"AAAAAH/m//Q=")</f>
        <v>#REF!</v>
      </c>
      <c r="IL30" t="e">
        <f>AND(#REF!,"AAAAAH/m//U=")</f>
        <v>#REF!</v>
      </c>
      <c r="IM30" t="e">
        <f>AND(#REF!,"AAAAAH/m//Y=")</f>
        <v>#REF!</v>
      </c>
      <c r="IN30" t="e">
        <f>AND(#REF!,"AAAAAH/m//c=")</f>
        <v>#REF!</v>
      </c>
      <c r="IO30" t="e">
        <f>AND(#REF!,"AAAAAH/m//g=")</f>
        <v>#REF!</v>
      </c>
      <c r="IP30" t="e">
        <f>AND(#REF!,"AAAAAH/m//k=")</f>
        <v>#REF!</v>
      </c>
      <c r="IQ30" t="e">
        <f>AND(#REF!,"AAAAAH/m//o=")</f>
        <v>#REF!</v>
      </c>
      <c r="IR30" t="e">
        <f>AND(#REF!,"AAAAAH/m//s=")</f>
        <v>#REF!</v>
      </c>
      <c r="IS30" t="e">
        <f>AND(#REF!,"AAAAAH/m//w=")</f>
        <v>#REF!</v>
      </c>
      <c r="IT30" t="e">
        <f>AND(#REF!,"AAAAAH/m//0=")</f>
        <v>#REF!</v>
      </c>
      <c r="IU30" t="e">
        <f>IF(#REF!,"AAAAAH/m//4=",0)</f>
        <v>#REF!</v>
      </c>
      <c r="IV30" t="e">
        <f>AND(#REF!,"AAAAAH/m//8=")</f>
        <v>#REF!</v>
      </c>
    </row>
    <row r="31" spans="1:256" x14ac:dyDescent="0.25">
      <c r="A31" t="e">
        <f>AND(#REF!,"AAAAAE744QA=")</f>
        <v>#REF!</v>
      </c>
      <c r="B31" t="e">
        <f>AND(#REF!,"AAAAAE744QE=")</f>
        <v>#REF!</v>
      </c>
      <c r="C31" t="e">
        <f>AND(#REF!,"AAAAAE744QI=")</f>
        <v>#REF!</v>
      </c>
      <c r="D31" t="e">
        <f>AND(#REF!,"AAAAAE744QM=")</f>
        <v>#REF!</v>
      </c>
      <c r="E31" t="e">
        <f>AND(#REF!,"AAAAAE744QQ=")</f>
        <v>#REF!</v>
      </c>
      <c r="F31" t="e">
        <f>AND(#REF!,"AAAAAE744QU=")</f>
        <v>#REF!</v>
      </c>
      <c r="G31" t="e">
        <f>AND(#REF!,"AAAAAE744QY=")</f>
        <v>#REF!</v>
      </c>
      <c r="H31" t="e">
        <f>AND(#REF!,"AAAAAE744Qc=")</f>
        <v>#REF!</v>
      </c>
      <c r="I31" t="e">
        <f>AND(#REF!,"AAAAAE744Qg=")</f>
        <v>#REF!</v>
      </c>
      <c r="J31" t="e">
        <f>AND(#REF!,"AAAAAE744Qk=")</f>
        <v>#REF!</v>
      </c>
      <c r="K31" t="e">
        <f>AND(#REF!,"AAAAAE744Qo=")</f>
        <v>#REF!</v>
      </c>
      <c r="L31" t="e">
        <f>AND(#REF!,"AAAAAE744Qs=")</f>
        <v>#REF!</v>
      </c>
      <c r="M31" t="e">
        <f>AND(#REF!,"AAAAAE744Qw=")</f>
        <v>#REF!</v>
      </c>
      <c r="N31" t="e">
        <f>AND(#REF!,"AAAAAE744Q0=")</f>
        <v>#REF!</v>
      </c>
      <c r="O31" t="e">
        <f>AND(#REF!,"AAAAAE744Q4=")</f>
        <v>#REF!</v>
      </c>
      <c r="P31" t="e">
        <f>AND(#REF!,"AAAAAE744Q8=")</f>
        <v>#REF!</v>
      </c>
      <c r="Q31" t="e">
        <f>AND(#REF!,"AAAAAE744RA=")</f>
        <v>#REF!</v>
      </c>
      <c r="R31" t="e">
        <f>AND(#REF!,"AAAAAE744RE=")</f>
        <v>#REF!</v>
      </c>
      <c r="S31" t="e">
        <f>AND(#REF!,"AAAAAE744RI=")</f>
        <v>#REF!</v>
      </c>
      <c r="T31" t="e">
        <f>AND(#REF!,"AAAAAE744RM=")</f>
        <v>#REF!</v>
      </c>
      <c r="U31" t="e">
        <f>AND(#REF!,"AAAAAE744RQ=")</f>
        <v>#REF!</v>
      </c>
      <c r="V31" t="e">
        <f>AND(#REF!,"AAAAAE744RU=")</f>
        <v>#REF!</v>
      </c>
      <c r="W31" t="e">
        <f>IF(#REF!,"AAAAAE744RY=",0)</f>
        <v>#REF!</v>
      </c>
      <c r="X31" t="e">
        <f>AND(#REF!,"AAAAAE744Rc=")</f>
        <v>#REF!</v>
      </c>
      <c r="Y31" t="e">
        <f>AND(#REF!,"AAAAAE744Rg=")</f>
        <v>#REF!</v>
      </c>
      <c r="Z31" t="e">
        <f>AND(#REF!,"AAAAAE744Rk=")</f>
        <v>#REF!</v>
      </c>
      <c r="AA31" t="e">
        <f>AND(#REF!,"AAAAAE744Ro=")</f>
        <v>#REF!</v>
      </c>
      <c r="AB31" t="e">
        <f>AND(#REF!,"AAAAAE744Rs=")</f>
        <v>#REF!</v>
      </c>
      <c r="AC31" t="e">
        <f>AND(#REF!,"AAAAAE744Rw=")</f>
        <v>#REF!</v>
      </c>
      <c r="AD31" t="e">
        <f>AND(#REF!,"AAAAAE744R0=")</f>
        <v>#REF!</v>
      </c>
      <c r="AE31" t="e">
        <f>AND(#REF!,"AAAAAE744R4=")</f>
        <v>#REF!</v>
      </c>
      <c r="AF31" t="e">
        <f>AND(#REF!,"AAAAAE744R8=")</f>
        <v>#REF!</v>
      </c>
      <c r="AG31" t="e">
        <f>AND(#REF!,"AAAAAE744SA=")</f>
        <v>#REF!</v>
      </c>
      <c r="AH31" t="e">
        <f>AND(#REF!,"AAAAAE744SE=")</f>
        <v>#REF!</v>
      </c>
      <c r="AI31" t="e">
        <f>AND(#REF!,"AAAAAE744SI=")</f>
        <v>#REF!</v>
      </c>
      <c r="AJ31" t="e">
        <f>AND(#REF!,"AAAAAE744SM=")</f>
        <v>#REF!</v>
      </c>
      <c r="AK31" t="e">
        <f>AND(#REF!,"AAAAAE744SQ=")</f>
        <v>#REF!</v>
      </c>
      <c r="AL31" t="e">
        <f>AND(#REF!,"AAAAAE744SU=")</f>
        <v>#REF!</v>
      </c>
      <c r="AM31" t="e">
        <f>AND(#REF!,"AAAAAE744SY=")</f>
        <v>#REF!</v>
      </c>
      <c r="AN31" t="e">
        <f>AND(#REF!,"AAAAAE744Sc=")</f>
        <v>#REF!</v>
      </c>
      <c r="AO31" t="e">
        <f>AND(#REF!,"AAAAAE744Sg=")</f>
        <v>#REF!</v>
      </c>
      <c r="AP31" t="e">
        <f>AND(#REF!,"AAAAAE744Sk=")</f>
        <v>#REF!</v>
      </c>
      <c r="AQ31" t="e">
        <f>AND(#REF!,"AAAAAE744So=")</f>
        <v>#REF!</v>
      </c>
      <c r="AR31" t="e">
        <f>AND(#REF!,"AAAAAE744Ss=")</f>
        <v>#REF!</v>
      </c>
      <c r="AS31" t="e">
        <f>AND(#REF!,"AAAAAE744Sw=")</f>
        <v>#REF!</v>
      </c>
      <c r="AT31" t="e">
        <f>AND(#REF!,"AAAAAE744S0=")</f>
        <v>#REF!</v>
      </c>
      <c r="AU31" t="e">
        <f>IF(#REF!,"AAAAAE744S4=",0)</f>
        <v>#REF!</v>
      </c>
      <c r="AV31" t="e">
        <f>AND(#REF!,"AAAAAE744S8=")</f>
        <v>#REF!</v>
      </c>
      <c r="AW31" t="e">
        <f>AND(#REF!,"AAAAAE744TA=")</f>
        <v>#REF!</v>
      </c>
      <c r="AX31" t="e">
        <f>AND(#REF!,"AAAAAE744TE=")</f>
        <v>#REF!</v>
      </c>
      <c r="AY31" t="e">
        <f>AND(#REF!,"AAAAAE744TI=")</f>
        <v>#REF!</v>
      </c>
      <c r="AZ31" t="e">
        <f>AND(#REF!,"AAAAAE744TM=")</f>
        <v>#REF!</v>
      </c>
      <c r="BA31" t="e">
        <f>AND(#REF!,"AAAAAE744TQ=")</f>
        <v>#REF!</v>
      </c>
      <c r="BB31" t="e">
        <f>AND(#REF!,"AAAAAE744TU=")</f>
        <v>#REF!</v>
      </c>
      <c r="BC31" t="e">
        <f>AND(#REF!,"AAAAAE744TY=")</f>
        <v>#REF!</v>
      </c>
      <c r="BD31" t="e">
        <f>AND(#REF!,"AAAAAE744Tc=")</f>
        <v>#REF!</v>
      </c>
      <c r="BE31" t="e">
        <f>AND(#REF!,"AAAAAE744Tg=")</f>
        <v>#REF!</v>
      </c>
      <c r="BF31" t="e">
        <f>AND(#REF!,"AAAAAE744Tk=")</f>
        <v>#REF!</v>
      </c>
      <c r="BG31" t="e">
        <f>AND(#REF!,"AAAAAE744To=")</f>
        <v>#REF!</v>
      </c>
      <c r="BH31" t="e">
        <f>AND(#REF!,"AAAAAE744Ts=")</f>
        <v>#REF!</v>
      </c>
      <c r="BI31" t="e">
        <f>AND(#REF!,"AAAAAE744Tw=")</f>
        <v>#REF!</v>
      </c>
      <c r="BJ31" t="e">
        <f>AND(#REF!,"AAAAAE744T0=")</f>
        <v>#REF!</v>
      </c>
      <c r="BK31" t="e">
        <f>AND(#REF!,"AAAAAE744T4=")</f>
        <v>#REF!</v>
      </c>
      <c r="BL31" t="e">
        <f>AND(#REF!,"AAAAAE744T8=")</f>
        <v>#REF!</v>
      </c>
      <c r="BM31" t="e">
        <f>AND(#REF!,"AAAAAE744UA=")</f>
        <v>#REF!</v>
      </c>
      <c r="BN31" t="e">
        <f>AND(#REF!,"AAAAAE744UE=")</f>
        <v>#REF!</v>
      </c>
      <c r="BO31" t="e">
        <f>AND(#REF!,"AAAAAE744UI=")</f>
        <v>#REF!</v>
      </c>
      <c r="BP31" t="e">
        <f>AND(#REF!,"AAAAAE744UM=")</f>
        <v>#REF!</v>
      </c>
      <c r="BQ31" t="e">
        <f>AND(#REF!,"AAAAAE744UQ=")</f>
        <v>#REF!</v>
      </c>
      <c r="BR31" t="e">
        <f>AND(#REF!,"AAAAAE744UU=")</f>
        <v>#REF!</v>
      </c>
      <c r="BS31" t="e">
        <f>IF(#REF!,"AAAAAE744UY=",0)</f>
        <v>#REF!</v>
      </c>
      <c r="BT31" t="e">
        <f>AND(#REF!,"AAAAAE744Uc=")</f>
        <v>#REF!</v>
      </c>
      <c r="BU31" t="e">
        <f>AND(#REF!,"AAAAAE744Ug=")</f>
        <v>#REF!</v>
      </c>
      <c r="BV31" t="e">
        <f>AND(#REF!,"AAAAAE744Uk=")</f>
        <v>#REF!</v>
      </c>
      <c r="BW31" t="e">
        <f>AND(#REF!,"AAAAAE744Uo=")</f>
        <v>#REF!</v>
      </c>
      <c r="BX31" t="e">
        <f>AND(#REF!,"AAAAAE744Us=")</f>
        <v>#REF!</v>
      </c>
      <c r="BY31" t="e">
        <f>AND(#REF!,"AAAAAE744Uw=")</f>
        <v>#REF!</v>
      </c>
      <c r="BZ31" t="e">
        <f>AND(#REF!,"AAAAAE744U0=")</f>
        <v>#REF!</v>
      </c>
      <c r="CA31" t="e">
        <f>AND(#REF!,"AAAAAE744U4=")</f>
        <v>#REF!</v>
      </c>
      <c r="CB31" t="e">
        <f>AND(#REF!,"AAAAAE744U8=")</f>
        <v>#REF!</v>
      </c>
      <c r="CC31" t="e">
        <f>AND(#REF!,"AAAAAE744VA=")</f>
        <v>#REF!</v>
      </c>
      <c r="CD31" t="e">
        <f>AND(#REF!,"AAAAAE744VE=")</f>
        <v>#REF!</v>
      </c>
      <c r="CE31" t="e">
        <f>AND(#REF!,"AAAAAE744VI=")</f>
        <v>#REF!</v>
      </c>
      <c r="CF31" t="e">
        <f>AND(#REF!,"AAAAAE744VM=")</f>
        <v>#REF!</v>
      </c>
      <c r="CG31" t="e">
        <f>AND(#REF!,"AAAAAE744VQ=")</f>
        <v>#REF!</v>
      </c>
      <c r="CH31" t="e">
        <f>AND(#REF!,"AAAAAE744VU=")</f>
        <v>#REF!</v>
      </c>
      <c r="CI31" t="e">
        <f>AND(#REF!,"AAAAAE744VY=")</f>
        <v>#REF!</v>
      </c>
      <c r="CJ31" t="e">
        <f>AND(#REF!,"AAAAAE744Vc=")</f>
        <v>#REF!</v>
      </c>
      <c r="CK31" t="e">
        <f>AND(#REF!,"AAAAAE744Vg=")</f>
        <v>#REF!</v>
      </c>
      <c r="CL31" t="e">
        <f>AND(#REF!,"AAAAAE744Vk=")</f>
        <v>#REF!</v>
      </c>
      <c r="CM31" t="e">
        <f>AND(#REF!,"AAAAAE744Vo=")</f>
        <v>#REF!</v>
      </c>
      <c r="CN31" t="e">
        <f>AND(#REF!,"AAAAAE744Vs=")</f>
        <v>#REF!</v>
      </c>
      <c r="CO31" t="e">
        <f>AND(#REF!,"AAAAAE744Vw=")</f>
        <v>#REF!</v>
      </c>
      <c r="CP31" t="e">
        <f>AND(#REF!,"AAAAAE744V0=")</f>
        <v>#REF!</v>
      </c>
      <c r="CQ31" t="e">
        <f>IF(#REF!,"AAAAAE744V4=",0)</f>
        <v>#REF!</v>
      </c>
      <c r="CR31" t="e">
        <f>AND(#REF!,"AAAAAE744V8=")</f>
        <v>#REF!</v>
      </c>
      <c r="CS31" t="e">
        <f>AND(#REF!,"AAAAAE744WA=")</f>
        <v>#REF!</v>
      </c>
      <c r="CT31" t="e">
        <f>AND(#REF!,"AAAAAE744WE=")</f>
        <v>#REF!</v>
      </c>
      <c r="CU31" t="e">
        <f>AND(#REF!,"AAAAAE744WI=")</f>
        <v>#REF!</v>
      </c>
      <c r="CV31" t="e">
        <f>AND(#REF!,"AAAAAE744WM=")</f>
        <v>#REF!</v>
      </c>
      <c r="CW31" t="e">
        <f>AND(#REF!,"AAAAAE744WQ=")</f>
        <v>#REF!</v>
      </c>
      <c r="CX31" t="e">
        <f>AND(#REF!,"AAAAAE744WU=")</f>
        <v>#REF!</v>
      </c>
      <c r="CY31" t="e">
        <f>AND(#REF!,"AAAAAE744WY=")</f>
        <v>#REF!</v>
      </c>
      <c r="CZ31" t="e">
        <f>AND(#REF!,"AAAAAE744Wc=")</f>
        <v>#REF!</v>
      </c>
      <c r="DA31" t="e">
        <f>AND(#REF!,"AAAAAE744Wg=")</f>
        <v>#REF!</v>
      </c>
      <c r="DB31" t="e">
        <f>AND(#REF!,"AAAAAE744Wk=")</f>
        <v>#REF!</v>
      </c>
      <c r="DC31" t="e">
        <f>AND(#REF!,"AAAAAE744Wo=")</f>
        <v>#REF!</v>
      </c>
      <c r="DD31" t="e">
        <f>AND(#REF!,"AAAAAE744Ws=")</f>
        <v>#REF!</v>
      </c>
      <c r="DE31" t="e">
        <f>AND(#REF!,"AAAAAE744Ww=")</f>
        <v>#REF!</v>
      </c>
      <c r="DF31" t="e">
        <f>AND(#REF!,"AAAAAE744W0=")</f>
        <v>#REF!</v>
      </c>
      <c r="DG31" t="e">
        <f>AND(#REF!,"AAAAAE744W4=")</f>
        <v>#REF!</v>
      </c>
      <c r="DH31" t="e">
        <f>AND(#REF!,"AAAAAE744W8=")</f>
        <v>#REF!</v>
      </c>
      <c r="DI31" t="e">
        <f>AND(#REF!,"AAAAAE744XA=")</f>
        <v>#REF!</v>
      </c>
      <c r="DJ31" t="e">
        <f>AND(#REF!,"AAAAAE744XE=")</f>
        <v>#REF!</v>
      </c>
      <c r="DK31" t="e">
        <f>AND(#REF!,"AAAAAE744XI=")</f>
        <v>#REF!</v>
      </c>
      <c r="DL31" t="e">
        <f>AND(#REF!,"AAAAAE744XM=")</f>
        <v>#REF!</v>
      </c>
      <c r="DM31" t="e">
        <f>AND(#REF!,"AAAAAE744XQ=")</f>
        <v>#REF!</v>
      </c>
      <c r="DN31" t="e">
        <f>AND(#REF!,"AAAAAE744XU=")</f>
        <v>#REF!</v>
      </c>
      <c r="DO31" t="e">
        <f>IF(#REF!,"AAAAAE744XY=",0)</f>
        <v>#REF!</v>
      </c>
      <c r="DP31" t="e">
        <f>AND(#REF!,"AAAAAE744Xc=")</f>
        <v>#REF!</v>
      </c>
      <c r="DQ31" t="e">
        <f>AND(#REF!,"AAAAAE744Xg=")</f>
        <v>#REF!</v>
      </c>
      <c r="DR31" t="e">
        <f>AND(#REF!,"AAAAAE744Xk=")</f>
        <v>#REF!</v>
      </c>
      <c r="DS31" t="e">
        <f>AND(#REF!,"AAAAAE744Xo=")</f>
        <v>#REF!</v>
      </c>
      <c r="DT31" t="e">
        <f>AND(#REF!,"AAAAAE744Xs=")</f>
        <v>#REF!</v>
      </c>
      <c r="DU31" t="e">
        <f>AND(#REF!,"AAAAAE744Xw=")</f>
        <v>#REF!</v>
      </c>
      <c r="DV31" t="e">
        <f>AND(#REF!,"AAAAAE744X0=")</f>
        <v>#REF!</v>
      </c>
      <c r="DW31" t="e">
        <f>AND(#REF!,"AAAAAE744X4=")</f>
        <v>#REF!</v>
      </c>
      <c r="DX31" t="e">
        <f>AND(#REF!,"AAAAAE744X8=")</f>
        <v>#REF!</v>
      </c>
      <c r="DY31" t="e">
        <f>AND(#REF!,"AAAAAE744YA=")</f>
        <v>#REF!</v>
      </c>
      <c r="DZ31" t="e">
        <f>AND(#REF!,"AAAAAE744YE=")</f>
        <v>#REF!</v>
      </c>
      <c r="EA31" t="e">
        <f>AND(#REF!,"AAAAAE744YI=")</f>
        <v>#REF!</v>
      </c>
      <c r="EB31" t="e">
        <f>AND(#REF!,"AAAAAE744YM=")</f>
        <v>#REF!</v>
      </c>
      <c r="EC31" t="e">
        <f>AND(#REF!,"AAAAAE744YQ=")</f>
        <v>#REF!</v>
      </c>
      <c r="ED31" t="e">
        <f>AND(#REF!,"AAAAAE744YU=")</f>
        <v>#REF!</v>
      </c>
      <c r="EE31" t="e">
        <f>AND(#REF!,"AAAAAE744YY=")</f>
        <v>#REF!</v>
      </c>
      <c r="EF31" t="e">
        <f>AND(#REF!,"AAAAAE744Yc=")</f>
        <v>#REF!</v>
      </c>
      <c r="EG31" t="e">
        <f>AND(#REF!,"AAAAAE744Yg=")</f>
        <v>#REF!</v>
      </c>
      <c r="EH31" t="e">
        <f>AND(#REF!,"AAAAAE744Yk=")</f>
        <v>#REF!</v>
      </c>
      <c r="EI31" t="e">
        <f>AND(#REF!,"AAAAAE744Yo=")</f>
        <v>#REF!</v>
      </c>
      <c r="EJ31" t="e">
        <f>AND(#REF!,"AAAAAE744Ys=")</f>
        <v>#REF!</v>
      </c>
      <c r="EK31" t="e">
        <f>AND(#REF!,"AAAAAE744Yw=")</f>
        <v>#REF!</v>
      </c>
      <c r="EL31" t="e">
        <f>AND(#REF!,"AAAAAE744Y0=")</f>
        <v>#REF!</v>
      </c>
      <c r="EM31" t="e">
        <f>IF(#REF!,"AAAAAE744Y4=",0)</f>
        <v>#REF!</v>
      </c>
      <c r="EN31" t="e">
        <f>AND(#REF!,"AAAAAE744Y8=")</f>
        <v>#REF!</v>
      </c>
      <c r="EO31" t="e">
        <f>AND(#REF!,"AAAAAE744ZA=")</f>
        <v>#REF!</v>
      </c>
      <c r="EP31" t="e">
        <f>AND(#REF!,"AAAAAE744ZE=")</f>
        <v>#REF!</v>
      </c>
      <c r="EQ31" t="e">
        <f>AND(#REF!,"AAAAAE744ZI=")</f>
        <v>#REF!</v>
      </c>
      <c r="ER31" t="e">
        <f>AND(#REF!,"AAAAAE744ZM=")</f>
        <v>#REF!</v>
      </c>
      <c r="ES31" t="e">
        <f>AND(#REF!,"AAAAAE744ZQ=")</f>
        <v>#REF!</v>
      </c>
      <c r="ET31" t="e">
        <f>AND(#REF!,"AAAAAE744ZU=")</f>
        <v>#REF!</v>
      </c>
      <c r="EU31" t="e">
        <f>AND(#REF!,"AAAAAE744ZY=")</f>
        <v>#REF!</v>
      </c>
      <c r="EV31" t="e">
        <f>AND(#REF!,"AAAAAE744Zc=")</f>
        <v>#REF!</v>
      </c>
      <c r="EW31" t="e">
        <f>AND(#REF!,"AAAAAE744Zg=")</f>
        <v>#REF!</v>
      </c>
      <c r="EX31" t="e">
        <f>AND(#REF!,"AAAAAE744Zk=")</f>
        <v>#REF!</v>
      </c>
      <c r="EY31" t="e">
        <f>AND(#REF!,"AAAAAE744Zo=")</f>
        <v>#REF!</v>
      </c>
      <c r="EZ31" t="e">
        <f>AND(#REF!,"AAAAAE744Zs=")</f>
        <v>#REF!</v>
      </c>
      <c r="FA31" t="e">
        <f>AND(#REF!,"AAAAAE744Zw=")</f>
        <v>#REF!</v>
      </c>
      <c r="FB31" t="e">
        <f>AND(#REF!,"AAAAAE744Z0=")</f>
        <v>#REF!</v>
      </c>
      <c r="FC31" t="e">
        <f>AND(#REF!,"AAAAAE744Z4=")</f>
        <v>#REF!</v>
      </c>
      <c r="FD31" t="e">
        <f>AND(#REF!,"AAAAAE744Z8=")</f>
        <v>#REF!</v>
      </c>
      <c r="FE31" t="e">
        <f>AND(#REF!,"AAAAAE744aA=")</f>
        <v>#REF!</v>
      </c>
      <c r="FF31" t="e">
        <f>AND(#REF!,"AAAAAE744aE=")</f>
        <v>#REF!</v>
      </c>
      <c r="FG31" t="e">
        <f>AND(#REF!,"AAAAAE744aI=")</f>
        <v>#REF!</v>
      </c>
      <c r="FH31" t="e">
        <f>AND(#REF!,"AAAAAE744aM=")</f>
        <v>#REF!</v>
      </c>
      <c r="FI31" t="e">
        <f>AND(#REF!,"AAAAAE744aQ=")</f>
        <v>#REF!</v>
      </c>
      <c r="FJ31" t="e">
        <f>AND(#REF!,"AAAAAE744aU=")</f>
        <v>#REF!</v>
      </c>
      <c r="FK31" t="e">
        <f>IF(#REF!,"AAAAAE744aY=",0)</f>
        <v>#REF!</v>
      </c>
      <c r="FL31" t="e">
        <f>AND(#REF!,"AAAAAE744ac=")</f>
        <v>#REF!</v>
      </c>
      <c r="FM31" t="e">
        <f>AND(#REF!,"AAAAAE744ag=")</f>
        <v>#REF!</v>
      </c>
      <c r="FN31" t="e">
        <f>AND(#REF!,"AAAAAE744ak=")</f>
        <v>#REF!</v>
      </c>
      <c r="FO31" t="e">
        <f>AND(#REF!,"AAAAAE744ao=")</f>
        <v>#REF!</v>
      </c>
      <c r="FP31" t="e">
        <f>AND(#REF!,"AAAAAE744as=")</f>
        <v>#REF!</v>
      </c>
      <c r="FQ31" t="e">
        <f>AND(#REF!,"AAAAAE744aw=")</f>
        <v>#REF!</v>
      </c>
      <c r="FR31" t="e">
        <f>AND(#REF!,"AAAAAE744a0=")</f>
        <v>#REF!</v>
      </c>
      <c r="FS31" t="e">
        <f>AND(#REF!,"AAAAAE744a4=")</f>
        <v>#REF!</v>
      </c>
      <c r="FT31" t="e">
        <f>AND(#REF!,"AAAAAE744a8=")</f>
        <v>#REF!</v>
      </c>
      <c r="FU31" t="e">
        <f>AND(#REF!,"AAAAAE744bA=")</f>
        <v>#REF!</v>
      </c>
      <c r="FV31" t="e">
        <f>AND(#REF!,"AAAAAE744bE=")</f>
        <v>#REF!</v>
      </c>
      <c r="FW31" t="e">
        <f>AND(#REF!,"AAAAAE744bI=")</f>
        <v>#REF!</v>
      </c>
      <c r="FX31" t="e">
        <f>AND(#REF!,"AAAAAE744bM=")</f>
        <v>#REF!</v>
      </c>
      <c r="FY31" t="e">
        <f>AND(#REF!,"AAAAAE744bQ=")</f>
        <v>#REF!</v>
      </c>
      <c r="FZ31" t="e">
        <f>AND(#REF!,"AAAAAE744bU=")</f>
        <v>#REF!</v>
      </c>
      <c r="GA31" t="e">
        <f>AND(#REF!,"AAAAAE744bY=")</f>
        <v>#REF!</v>
      </c>
      <c r="GB31" t="e">
        <f>AND(#REF!,"AAAAAE744bc=")</f>
        <v>#REF!</v>
      </c>
      <c r="GC31" t="e">
        <f>AND(#REF!,"AAAAAE744bg=")</f>
        <v>#REF!</v>
      </c>
      <c r="GD31" t="e">
        <f>AND(#REF!,"AAAAAE744bk=")</f>
        <v>#REF!</v>
      </c>
      <c r="GE31" t="e">
        <f>AND(#REF!,"AAAAAE744bo=")</f>
        <v>#REF!</v>
      </c>
      <c r="GF31" t="e">
        <f>AND(#REF!,"AAAAAE744bs=")</f>
        <v>#REF!</v>
      </c>
      <c r="GG31" t="e">
        <f>AND(#REF!,"AAAAAE744bw=")</f>
        <v>#REF!</v>
      </c>
      <c r="GH31" t="e">
        <f>AND(#REF!,"AAAAAE744b0=")</f>
        <v>#REF!</v>
      </c>
      <c r="GI31" t="e">
        <f>IF(#REF!,"AAAAAE744b4=",0)</f>
        <v>#REF!</v>
      </c>
      <c r="GJ31" t="e">
        <f>AND(#REF!,"AAAAAE744b8=")</f>
        <v>#REF!</v>
      </c>
      <c r="GK31" t="e">
        <f>AND(#REF!,"AAAAAE744cA=")</f>
        <v>#REF!</v>
      </c>
      <c r="GL31" t="e">
        <f>AND(#REF!,"AAAAAE744cE=")</f>
        <v>#REF!</v>
      </c>
      <c r="GM31" t="e">
        <f>AND(#REF!,"AAAAAE744cI=")</f>
        <v>#REF!</v>
      </c>
      <c r="GN31" t="e">
        <f>AND(#REF!,"AAAAAE744cM=")</f>
        <v>#REF!</v>
      </c>
      <c r="GO31" t="e">
        <f>AND(#REF!,"AAAAAE744cQ=")</f>
        <v>#REF!</v>
      </c>
      <c r="GP31" t="e">
        <f>AND(#REF!,"AAAAAE744cU=")</f>
        <v>#REF!</v>
      </c>
      <c r="GQ31" t="e">
        <f>AND(#REF!,"AAAAAE744cY=")</f>
        <v>#REF!</v>
      </c>
      <c r="GR31" t="e">
        <f>AND(#REF!,"AAAAAE744cc=")</f>
        <v>#REF!</v>
      </c>
      <c r="GS31" t="e">
        <f>AND(#REF!,"AAAAAE744cg=")</f>
        <v>#REF!</v>
      </c>
      <c r="GT31" t="e">
        <f>AND(#REF!,"AAAAAE744ck=")</f>
        <v>#REF!</v>
      </c>
      <c r="GU31" t="e">
        <f>AND(#REF!,"AAAAAE744co=")</f>
        <v>#REF!</v>
      </c>
      <c r="GV31" t="e">
        <f>AND(#REF!,"AAAAAE744cs=")</f>
        <v>#REF!</v>
      </c>
      <c r="GW31" t="e">
        <f>AND(#REF!,"AAAAAE744cw=")</f>
        <v>#REF!</v>
      </c>
      <c r="GX31" t="e">
        <f>AND(#REF!,"AAAAAE744c0=")</f>
        <v>#REF!</v>
      </c>
      <c r="GY31" t="e">
        <f>AND(#REF!,"AAAAAE744c4=")</f>
        <v>#REF!</v>
      </c>
      <c r="GZ31" t="e">
        <f>AND(#REF!,"AAAAAE744c8=")</f>
        <v>#REF!</v>
      </c>
      <c r="HA31" t="e">
        <f>AND(#REF!,"AAAAAE744dA=")</f>
        <v>#REF!</v>
      </c>
      <c r="HB31" t="e">
        <f>AND(#REF!,"AAAAAE744dE=")</f>
        <v>#REF!</v>
      </c>
      <c r="HC31" t="e">
        <f>AND(#REF!,"AAAAAE744dI=")</f>
        <v>#REF!</v>
      </c>
      <c r="HD31" t="e">
        <f>AND(#REF!,"AAAAAE744dM=")</f>
        <v>#REF!</v>
      </c>
      <c r="HE31" t="e">
        <f>AND(#REF!,"AAAAAE744dQ=")</f>
        <v>#REF!</v>
      </c>
      <c r="HF31" t="e">
        <f>AND(#REF!,"AAAAAE744dU=")</f>
        <v>#REF!</v>
      </c>
      <c r="HG31" t="e">
        <f>IF(#REF!,"AAAAAE744dY=",0)</f>
        <v>#REF!</v>
      </c>
      <c r="HH31" t="e">
        <f>AND(#REF!,"AAAAAE744dc=")</f>
        <v>#REF!</v>
      </c>
      <c r="HI31" t="e">
        <f>AND(#REF!,"AAAAAE744dg=")</f>
        <v>#REF!</v>
      </c>
      <c r="HJ31" t="e">
        <f>AND(#REF!,"AAAAAE744dk=")</f>
        <v>#REF!</v>
      </c>
      <c r="HK31" t="e">
        <f>AND(#REF!,"AAAAAE744do=")</f>
        <v>#REF!</v>
      </c>
      <c r="HL31" t="e">
        <f>AND(#REF!,"AAAAAE744ds=")</f>
        <v>#REF!</v>
      </c>
      <c r="HM31" t="e">
        <f>AND(#REF!,"AAAAAE744dw=")</f>
        <v>#REF!</v>
      </c>
      <c r="HN31" t="e">
        <f>AND(#REF!,"AAAAAE744d0=")</f>
        <v>#REF!</v>
      </c>
      <c r="HO31" t="e">
        <f>AND(#REF!,"AAAAAE744d4=")</f>
        <v>#REF!</v>
      </c>
      <c r="HP31" t="e">
        <f>AND(#REF!,"AAAAAE744d8=")</f>
        <v>#REF!</v>
      </c>
      <c r="HQ31" t="e">
        <f>AND(#REF!,"AAAAAE744eA=")</f>
        <v>#REF!</v>
      </c>
      <c r="HR31" t="e">
        <f>AND(#REF!,"AAAAAE744eE=")</f>
        <v>#REF!</v>
      </c>
      <c r="HS31" t="e">
        <f>AND(#REF!,"AAAAAE744eI=")</f>
        <v>#REF!</v>
      </c>
      <c r="HT31" t="e">
        <f>AND(#REF!,"AAAAAE744eM=")</f>
        <v>#REF!</v>
      </c>
      <c r="HU31" t="e">
        <f>AND(#REF!,"AAAAAE744eQ=")</f>
        <v>#REF!</v>
      </c>
      <c r="HV31" t="e">
        <f>AND(#REF!,"AAAAAE744eU=")</f>
        <v>#REF!</v>
      </c>
      <c r="HW31" t="e">
        <f>AND(#REF!,"AAAAAE744eY=")</f>
        <v>#REF!</v>
      </c>
      <c r="HX31" t="e">
        <f>AND(#REF!,"AAAAAE744ec=")</f>
        <v>#REF!</v>
      </c>
      <c r="HY31" t="e">
        <f>AND(#REF!,"AAAAAE744eg=")</f>
        <v>#REF!</v>
      </c>
      <c r="HZ31" t="e">
        <f>AND(#REF!,"AAAAAE744ek=")</f>
        <v>#REF!</v>
      </c>
      <c r="IA31" t="e">
        <f>AND(#REF!,"AAAAAE744eo=")</f>
        <v>#REF!</v>
      </c>
      <c r="IB31" t="e">
        <f>AND(#REF!,"AAAAAE744es=")</f>
        <v>#REF!</v>
      </c>
      <c r="IC31" t="e">
        <f>AND(#REF!,"AAAAAE744ew=")</f>
        <v>#REF!</v>
      </c>
      <c r="ID31" t="e">
        <f>AND(#REF!,"AAAAAE744e0=")</f>
        <v>#REF!</v>
      </c>
      <c r="IE31" t="e">
        <f>IF(#REF!,"AAAAAE744e4=",0)</f>
        <v>#REF!</v>
      </c>
      <c r="IF31" t="e">
        <f>AND(#REF!,"AAAAAE744e8=")</f>
        <v>#REF!</v>
      </c>
      <c r="IG31" t="e">
        <f>AND(#REF!,"AAAAAE744fA=")</f>
        <v>#REF!</v>
      </c>
      <c r="IH31" t="e">
        <f>AND(#REF!,"AAAAAE744fE=")</f>
        <v>#REF!</v>
      </c>
      <c r="II31" t="e">
        <f>AND(#REF!,"AAAAAE744fI=")</f>
        <v>#REF!</v>
      </c>
      <c r="IJ31" t="e">
        <f>AND(#REF!,"AAAAAE744fM=")</f>
        <v>#REF!</v>
      </c>
      <c r="IK31" t="e">
        <f>AND(#REF!,"AAAAAE744fQ=")</f>
        <v>#REF!</v>
      </c>
      <c r="IL31" t="e">
        <f>AND(#REF!,"AAAAAE744fU=")</f>
        <v>#REF!</v>
      </c>
      <c r="IM31" t="e">
        <f>AND(#REF!,"AAAAAE744fY=")</f>
        <v>#REF!</v>
      </c>
      <c r="IN31" t="e">
        <f>AND(#REF!,"AAAAAE744fc=")</f>
        <v>#REF!</v>
      </c>
      <c r="IO31" t="e">
        <f>AND(#REF!,"AAAAAE744fg=")</f>
        <v>#REF!</v>
      </c>
      <c r="IP31" t="e">
        <f>AND(#REF!,"AAAAAE744fk=")</f>
        <v>#REF!</v>
      </c>
      <c r="IQ31" t="e">
        <f>AND(#REF!,"AAAAAE744fo=")</f>
        <v>#REF!</v>
      </c>
      <c r="IR31" t="e">
        <f>AND(#REF!,"AAAAAE744fs=")</f>
        <v>#REF!</v>
      </c>
      <c r="IS31" t="e">
        <f>AND(#REF!,"AAAAAE744fw=")</f>
        <v>#REF!</v>
      </c>
      <c r="IT31" t="e">
        <f>AND(#REF!,"AAAAAE744f0=")</f>
        <v>#REF!</v>
      </c>
      <c r="IU31" t="e">
        <f>AND(#REF!,"AAAAAE744f4=")</f>
        <v>#REF!</v>
      </c>
      <c r="IV31" t="e">
        <f>AND(#REF!,"AAAAAE744f8=")</f>
        <v>#REF!</v>
      </c>
    </row>
    <row r="32" spans="1:256" x14ac:dyDescent="0.25">
      <c r="A32" t="e">
        <f>AND(#REF!,"AAAAADbrvAA=")</f>
        <v>#REF!</v>
      </c>
      <c r="B32" t="e">
        <f>AND(#REF!,"AAAAADbrvAE=")</f>
        <v>#REF!</v>
      </c>
      <c r="C32" t="e">
        <f>AND(#REF!,"AAAAADbrvAI=")</f>
        <v>#REF!</v>
      </c>
      <c r="D32" t="e">
        <f>AND(#REF!,"AAAAADbrvAM=")</f>
        <v>#REF!</v>
      </c>
      <c r="E32" t="e">
        <f>AND(#REF!,"AAAAADbrvAQ=")</f>
        <v>#REF!</v>
      </c>
      <c r="F32" t="e">
        <f>AND(#REF!,"AAAAADbrvAU=")</f>
        <v>#REF!</v>
      </c>
      <c r="G32" t="e">
        <f>IF(#REF!,"AAAAADbrvAY=",0)</f>
        <v>#REF!</v>
      </c>
      <c r="H32" t="e">
        <f>AND(#REF!,"AAAAADbrvAc=")</f>
        <v>#REF!</v>
      </c>
      <c r="I32" t="e">
        <f>AND(#REF!,"AAAAADbrvAg=")</f>
        <v>#REF!</v>
      </c>
      <c r="J32" t="e">
        <f>AND(#REF!,"AAAAADbrvAk=")</f>
        <v>#REF!</v>
      </c>
      <c r="K32" t="e">
        <f>AND(#REF!,"AAAAADbrvAo=")</f>
        <v>#REF!</v>
      </c>
      <c r="L32" t="e">
        <f>AND(#REF!,"AAAAADbrvAs=")</f>
        <v>#REF!</v>
      </c>
      <c r="M32" t="e">
        <f>AND(#REF!,"AAAAADbrvAw=")</f>
        <v>#REF!</v>
      </c>
      <c r="N32" t="e">
        <f>AND(#REF!,"AAAAADbrvA0=")</f>
        <v>#REF!</v>
      </c>
      <c r="O32" t="e">
        <f>AND(#REF!,"AAAAADbrvA4=")</f>
        <v>#REF!</v>
      </c>
      <c r="P32" t="e">
        <f>AND(#REF!,"AAAAADbrvA8=")</f>
        <v>#REF!</v>
      </c>
      <c r="Q32" t="e">
        <f>AND(#REF!,"AAAAADbrvBA=")</f>
        <v>#REF!</v>
      </c>
      <c r="R32" t="e">
        <f>AND(#REF!,"AAAAADbrvBE=")</f>
        <v>#REF!</v>
      </c>
      <c r="S32" t="e">
        <f>AND(#REF!,"AAAAADbrvBI=")</f>
        <v>#REF!</v>
      </c>
      <c r="T32" t="e">
        <f>AND(#REF!,"AAAAADbrvBM=")</f>
        <v>#REF!</v>
      </c>
      <c r="U32" t="e">
        <f>AND(#REF!,"AAAAADbrvBQ=")</f>
        <v>#REF!</v>
      </c>
      <c r="V32" t="e">
        <f>AND(#REF!,"AAAAADbrvBU=")</f>
        <v>#REF!</v>
      </c>
      <c r="W32" t="e">
        <f>AND(#REF!,"AAAAADbrvBY=")</f>
        <v>#REF!</v>
      </c>
      <c r="X32" t="e">
        <f>AND(#REF!,"AAAAADbrvBc=")</f>
        <v>#REF!</v>
      </c>
      <c r="Y32" t="e">
        <f>AND(#REF!,"AAAAADbrvBg=")</f>
        <v>#REF!</v>
      </c>
      <c r="Z32" t="e">
        <f>AND(#REF!,"AAAAADbrvBk=")</f>
        <v>#REF!</v>
      </c>
      <c r="AA32" t="e">
        <f>AND(#REF!,"AAAAADbrvBo=")</f>
        <v>#REF!</v>
      </c>
      <c r="AB32" t="e">
        <f>AND(#REF!,"AAAAADbrvBs=")</f>
        <v>#REF!</v>
      </c>
      <c r="AC32" t="e">
        <f>AND(#REF!,"AAAAADbrvBw=")</f>
        <v>#REF!</v>
      </c>
      <c r="AD32" t="e">
        <f>AND(#REF!,"AAAAADbrvB0=")</f>
        <v>#REF!</v>
      </c>
      <c r="AE32" t="e">
        <f>IF(#REF!,"AAAAADbrvB4=",0)</f>
        <v>#REF!</v>
      </c>
      <c r="AF32" t="e">
        <f>AND(#REF!,"AAAAADbrvB8=")</f>
        <v>#REF!</v>
      </c>
      <c r="AG32" t="e">
        <f>AND(#REF!,"AAAAADbrvCA=")</f>
        <v>#REF!</v>
      </c>
      <c r="AH32" t="e">
        <f>AND(#REF!,"AAAAADbrvCE=")</f>
        <v>#REF!</v>
      </c>
      <c r="AI32" t="e">
        <f>AND(#REF!,"AAAAADbrvCI=")</f>
        <v>#REF!</v>
      </c>
      <c r="AJ32" t="e">
        <f>AND(#REF!,"AAAAADbrvCM=")</f>
        <v>#REF!</v>
      </c>
      <c r="AK32" t="e">
        <f>AND(#REF!,"AAAAADbrvCQ=")</f>
        <v>#REF!</v>
      </c>
      <c r="AL32" t="e">
        <f>AND(#REF!,"AAAAADbrvCU=")</f>
        <v>#REF!</v>
      </c>
      <c r="AM32" t="e">
        <f>AND(#REF!,"AAAAADbrvCY=")</f>
        <v>#REF!</v>
      </c>
      <c r="AN32" t="e">
        <f>AND(#REF!,"AAAAADbrvCc=")</f>
        <v>#REF!</v>
      </c>
      <c r="AO32" t="e">
        <f>AND(#REF!,"AAAAADbrvCg=")</f>
        <v>#REF!</v>
      </c>
      <c r="AP32" t="e">
        <f>AND(#REF!,"AAAAADbrvCk=")</f>
        <v>#REF!</v>
      </c>
      <c r="AQ32" t="e">
        <f>AND(#REF!,"AAAAADbrvCo=")</f>
        <v>#REF!</v>
      </c>
      <c r="AR32" t="e">
        <f>AND(#REF!,"AAAAADbrvCs=")</f>
        <v>#REF!</v>
      </c>
      <c r="AS32" t="e">
        <f>AND(#REF!,"AAAAADbrvCw=")</f>
        <v>#REF!</v>
      </c>
      <c r="AT32" t="e">
        <f>AND(#REF!,"AAAAADbrvC0=")</f>
        <v>#REF!</v>
      </c>
      <c r="AU32" t="e">
        <f>AND(#REF!,"AAAAADbrvC4=")</f>
        <v>#REF!</v>
      </c>
      <c r="AV32" t="e">
        <f>AND(#REF!,"AAAAADbrvC8=")</f>
        <v>#REF!</v>
      </c>
      <c r="AW32" t="e">
        <f>AND(#REF!,"AAAAADbrvDA=")</f>
        <v>#REF!</v>
      </c>
      <c r="AX32" t="e">
        <f>AND(#REF!,"AAAAADbrvDE=")</f>
        <v>#REF!</v>
      </c>
      <c r="AY32" t="e">
        <f>AND(#REF!,"AAAAADbrvDI=")</f>
        <v>#REF!</v>
      </c>
      <c r="AZ32" t="e">
        <f>AND(#REF!,"AAAAADbrvDM=")</f>
        <v>#REF!</v>
      </c>
      <c r="BA32" t="e">
        <f>AND(#REF!,"AAAAADbrvDQ=")</f>
        <v>#REF!</v>
      </c>
      <c r="BB32" t="e">
        <f>AND(#REF!,"AAAAADbrvDU=")</f>
        <v>#REF!</v>
      </c>
      <c r="BC32" t="e">
        <f>IF(#REF!,"AAAAADbrvDY=",0)</f>
        <v>#REF!</v>
      </c>
      <c r="BD32" t="e">
        <f>AND(#REF!,"AAAAADbrvDc=")</f>
        <v>#REF!</v>
      </c>
      <c r="BE32" t="e">
        <f>AND(#REF!,"AAAAADbrvDg=")</f>
        <v>#REF!</v>
      </c>
      <c r="BF32" t="e">
        <f>AND(#REF!,"AAAAADbrvDk=")</f>
        <v>#REF!</v>
      </c>
      <c r="BG32" t="e">
        <f>AND(#REF!,"AAAAADbrvDo=")</f>
        <v>#REF!</v>
      </c>
      <c r="BH32" t="e">
        <f>AND(#REF!,"AAAAADbrvDs=")</f>
        <v>#REF!</v>
      </c>
      <c r="BI32" t="e">
        <f>AND(#REF!,"AAAAADbrvDw=")</f>
        <v>#REF!</v>
      </c>
      <c r="BJ32" t="e">
        <f>AND(#REF!,"AAAAADbrvD0=")</f>
        <v>#REF!</v>
      </c>
      <c r="BK32" t="e">
        <f>AND(#REF!,"AAAAADbrvD4=")</f>
        <v>#REF!</v>
      </c>
      <c r="BL32" t="e">
        <f>AND(#REF!,"AAAAADbrvD8=")</f>
        <v>#REF!</v>
      </c>
      <c r="BM32" t="e">
        <f>AND(#REF!,"AAAAADbrvEA=")</f>
        <v>#REF!</v>
      </c>
      <c r="BN32" t="e">
        <f>AND(#REF!,"AAAAADbrvEE=")</f>
        <v>#REF!</v>
      </c>
      <c r="BO32" t="e">
        <f>AND(#REF!,"AAAAADbrvEI=")</f>
        <v>#REF!</v>
      </c>
      <c r="BP32" t="e">
        <f>AND(#REF!,"AAAAADbrvEM=")</f>
        <v>#REF!</v>
      </c>
      <c r="BQ32" t="e">
        <f>AND(#REF!,"AAAAADbrvEQ=")</f>
        <v>#REF!</v>
      </c>
      <c r="BR32" t="e">
        <f>AND(#REF!,"AAAAADbrvEU=")</f>
        <v>#REF!</v>
      </c>
      <c r="BS32" t="e">
        <f>AND(#REF!,"AAAAADbrvEY=")</f>
        <v>#REF!</v>
      </c>
      <c r="BT32" t="e">
        <f>AND(#REF!,"AAAAADbrvEc=")</f>
        <v>#REF!</v>
      </c>
      <c r="BU32" t="e">
        <f>AND(#REF!,"AAAAADbrvEg=")</f>
        <v>#REF!</v>
      </c>
      <c r="BV32" t="e">
        <f>AND(#REF!,"AAAAADbrvEk=")</f>
        <v>#REF!</v>
      </c>
      <c r="BW32" t="e">
        <f>AND(#REF!,"AAAAADbrvEo=")</f>
        <v>#REF!</v>
      </c>
      <c r="BX32" t="e">
        <f>AND(#REF!,"AAAAADbrvEs=")</f>
        <v>#REF!</v>
      </c>
      <c r="BY32" t="e">
        <f>AND(#REF!,"AAAAADbrvEw=")</f>
        <v>#REF!</v>
      </c>
      <c r="BZ32" t="e">
        <f>AND(#REF!,"AAAAADbrvE0=")</f>
        <v>#REF!</v>
      </c>
      <c r="CA32" t="e">
        <f>IF(#REF!,"AAAAADbrvE4=",0)</f>
        <v>#REF!</v>
      </c>
      <c r="CB32" t="e">
        <f>AND(#REF!,"AAAAADbrvE8=")</f>
        <v>#REF!</v>
      </c>
      <c r="CC32" t="e">
        <f>AND(#REF!,"AAAAADbrvFA=")</f>
        <v>#REF!</v>
      </c>
      <c r="CD32" t="e">
        <f>AND(#REF!,"AAAAADbrvFE=")</f>
        <v>#REF!</v>
      </c>
      <c r="CE32" t="e">
        <f>AND(#REF!,"AAAAADbrvFI=")</f>
        <v>#REF!</v>
      </c>
      <c r="CF32" t="e">
        <f>AND(#REF!,"AAAAADbrvFM=")</f>
        <v>#REF!</v>
      </c>
      <c r="CG32" t="e">
        <f>AND(#REF!,"AAAAADbrvFQ=")</f>
        <v>#REF!</v>
      </c>
      <c r="CH32" t="e">
        <f>AND(#REF!,"AAAAADbrvFU=")</f>
        <v>#REF!</v>
      </c>
      <c r="CI32" t="e">
        <f>AND(#REF!,"AAAAADbrvFY=")</f>
        <v>#REF!</v>
      </c>
      <c r="CJ32" t="e">
        <f>AND(#REF!,"AAAAADbrvFc=")</f>
        <v>#REF!</v>
      </c>
      <c r="CK32" t="e">
        <f>AND(#REF!,"AAAAADbrvFg=")</f>
        <v>#REF!</v>
      </c>
      <c r="CL32" t="e">
        <f>AND(#REF!,"AAAAADbrvFk=")</f>
        <v>#REF!</v>
      </c>
      <c r="CM32" t="e">
        <f>AND(#REF!,"AAAAADbrvFo=")</f>
        <v>#REF!</v>
      </c>
      <c r="CN32" t="e">
        <f>AND(#REF!,"AAAAADbrvFs=")</f>
        <v>#REF!</v>
      </c>
      <c r="CO32" t="e">
        <f>AND(#REF!,"AAAAADbrvFw=")</f>
        <v>#REF!</v>
      </c>
      <c r="CP32" t="e">
        <f>AND(#REF!,"AAAAADbrvF0=")</f>
        <v>#REF!</v>
      </c>
      <c r="CQ32" t="e">
        <f>AND(#REF!,"AAAAADbrvF4=")</f>
        <v>#REF!</v>
      </c>
      <c r="CR32" t="e">
        <f>AND(#REF!,"AAAAADbrvF8=")</f>
        <v>#REF!</v>
      </c>
      <c r="CS32" t="e">
        <f>AND(#REF!,"AAAAADbrvGA=")</f>
        <v>#REF!</v>
      </c>
      <c r="CT32" t="e">
        <f>AND(#REF!,"AAAAADbrvGE=")</f>
        <v>#REF!</v>
      </c>
      <c r="CU32" t="e">
        <f>AND(#REF!,"AAAAADbrvGI=")</f>
        <v>#REF!</v>
      </c>
      <c r="CV32" t="e">
        <f>AND(#REF!,"AAAAADbrvGM=")</f>
        <v>#REF!</v>
      </c>
      <c r="CW32" t="e">
        <f>AND(#REF!,"AAAAADbrvGQ=")</f>
        <v>#REF!</v>
      </c>
      <c r="CX32" t="e">
        <f>AND(#REF!,"AAAAADbrvGU=")</f>
        <v>#REF!</v>
      </c>
      <c r="CY32" t="e">
        <f>IF(#REF!,"AAAAADbrvGY=",0)</f>
        <v>#REF!</v>
      </c>
      <c r="CZ32" t="e">
        <f>AND(#REF!,"AAAAADbrvGc=")</f>
        <v>#REF!</v>
      </c>
      <c r="DA32" t="e">
        <f>AND(#REF!,"AAAAADbrvGg=")</f>
        <v>#REF!</v>
      </c>
      <c r="DB32" t="e">
        <f>AND(#REF!,"AAAAADbrvGk=")</f>
        <v>#REF!</v>
      </c>
      <c r="DC32" t="e">
        <f>AND(#REF!,"AAAAADbrvGo=")</f>
        <v>#REF!</v>
      </c>
      <c r="DD32" t="e">
        <f>AND(#REF!,"AAAAADbrvGs=")</f>
        <v>#REF!</v>
      </c>
      <c r="DE32" t="e">
        <f>AND(#REF!,"AAAAADbrvGw=")</f>
        <v>#REF!</v>
      </c>
      <c r="DF32" t="e">
        <f>AND(#REF!,"AAAAADbrvG0=")</f>
        <v>#REF!</v>
      </c>
      <c r="DG32" t="e">
        <f>AND(#REF!,"AAAAADbrvG4=")</f>
        <v>#REF!</v>
      </c>
      <c r="DH32" t="e">
        <f>AND(#REF!,"AAAAADbrvG8=")</f>
        <v>#REF!</v>
      </c>
      <c r="DI32" t="e">
        <f>AND(#REF!,"AAAAADbrvHA=")</f>
        <v>#REF!</v>
      </c>
      <c r="DJ32" t="e">
        <f>AND(#REF!,"AAAAADbrvHE=")</f>
        <v>#REF!</v>
      </c>
      <c r="DK32" t="e">
        <f>AND(#REF!,"AAAAADbrvHI=")</f>
        <v>#REF!</v>
      </c>
      <c r="DL32" t="e">
        <f>AND(#REF!,"AAAAADbrvHM=")</f>
        <v>#REF!</v>
      </c>
      <c r="DM32" t="e">
        <f>AND(#REF!,"AAAAADbrvHQ=")</f>
        <v>#REF!</v>
      </c>
      <c r="DN32" t="e">
        <f>AND(#REF!,"AAAAADbrvHU=")</f>
        <v>#REF!</v>
      </c>
      <c r="DO32" t="e">
        <f>AND(#REF!,"AAAAADbrvHY=")</f>
        <v>#REF!</v>
      </c>
      <c r="DP32" t="e">
        <f>AND(#REF!,"AAAAADbrvHc=")</f>
        <v>#REF!</v>
      </c>
      <c r="DQ32" t="e">
        <f>AND(#REF!,"AAAAADbrvHg=")</f>
        <v>#REF!</v>
      </c>
      <c r="DR32" t="e">
        <f>AND(#REF!,"AAAAADbrvHk=")</f>
        <v>#REF!</v>
      </c>
      <c r="DS32" t="e">
        <f>AND(#REF!,"AAAAADbrvHo=")</f>
        <v>#REF!</v>
      </c>
      <c r="DT32" t="e">
        <f>AND(#REF!,"AAAAADbrvHs=")</f>
        <v>#REF!</v>
      </c>
      <c r="DU32" t="e">
        <f>AND(#REF!,"AAAAADbrvHw=")</f>
        <v>#REF!</v>
      </c>
      <c r="DV32" t="e">
        <f>AND(#REF!,"AAAAADbrvH0=")</f>
        <v>#REF!</v>
      </c>
      <c r="DW32" t="e">
        <f>IF(#REF!,"AAAAADbrvH4=",0)</f>
        <v>#REF!</v>
      </c>
      <c r="DX32" t="e">
        <f>AND(#REF!,"AAAAADbrvH8=")</f>
        <v>#REF!</v>
      </c>
      <c r="DY32" t="e">
        <f>AND(#REF!,"AAAAADbrvIA=")</f>
        <v>#REF!</v>
      </c>
      <c r="DZ32" t="e">
        <f>AND(#REF!,"AAAAADbrvIE=")</f>
        <v>#REF!</v>
      </c>
      <c r="EA32" t="e">
        <f>AND(#REF!,"AAAAADbrvII=")</f>
        <v>#REF!</v>
      </c>
      <c r="EB32" t="e">
        <f>AND(#REF!,"AAAAADbrvIM=")</f>
        <v>#REF!</v>
      </c>
      <c r="EC32" t="e">
        <f>AND(#REF!,"AAAAADbrvIQ=")</f>
        <v>#REF!</v>
      </c>
      <c r="ED32" t="e">
        <f>AND(#REF!,"AAAAADbrvIU=")</f>
        <v>#REF!</v>
      </c>
      <c r="EE32" t="e">
        <f>AND(#REF!,"AAAAADbrvIY=")</f>
        <v>#REF!</v>
      </c>
      <c r="EF32" t="e">
        <f>AND(#REF!,"AAAAADbrvIc=")</f>
        <v>#REF!</v>
      </c>
      <c r="EG32" t="e">
        <f>AND(#REF!,"AAAAADbrvIg=")</f>
        <v>#REF!</v>
      </c>
      <c r="EH32" t="e">
        <f>AND(#REF!,"AAAAADbrvIk=")</f>
        <v>#REF!</v>
      </c>
      <c r="EI32" t="e">
        <f>AND(#REF!,"AAAAADbrvIo=")</f>
        <v>#REF!</v>
      </c>
      <c r="EJ32" t="e">
        <f>AND(#REF!,"AAAAADbrvIs=")</f>
        <v>#REF!</v>
      </c>
      <c r="EK32" t="e">
        <f>AND(#REF!,"AAAAADbrvIw=")</f>
        <v>#REF!</v>
      </c>
      <c r="EL32" t="e">
        <f>AND(#REF!,"AAAAADbrvI0=")</f>
        <v>#REF!</v>
      </c>
      <c r="EM32" t="e">
        <f>AND(#REF!,"AAAAADbrvI4=")</f>
        <v>#REF!</v>
      </c>
      <c r="EN32" t="e">
        <f>AND(#REF!,"AAAAADbrvI8=")</f>
        <v>#REF!</v>
      </c>
      <c r="EO32" t="e">
        <f>AND(#REF!,"AAAAADbrvJA=")</f>
        <v>#REF!</v>
      </c>
      <c r="EP32" t="e">
        <f>AND(#REF!,"AAAAADbrvJE=")</f>
        <v>#REF!</v>
      </c>
      <c r="EQ32" t="e">
        <f>AND(#REF!,"AAAAADbrvJI=")</f>
        <v>#REF!</v>
      </c>
      <c r="ER32" t="e">
        <f>AND(#REF!,"AAAAADbrvJM=")</f>
        <v>#REF!</v>
      </c>
      <c r="ES32" t="e">
        <f>AND(#REF!,"AAAAADbrvJQ=")</f>
        <v>#REF!</v>
      </c>
      <c r="ET32" t="e">
        <f>AND(#REF!,"AAAAADbrvJU=")</f>
        <v>#REF!</v>
      </c>
      <c r="EU32" t="e">
        <f>IF(#REF!,"AAAAADbrvJY=",0)</f>
        <v>#REF!</v>
      </c>
      <c r="EV32" t="e">
        <f>AND(#REF!,"AAAAADbrvJc=")</f>
        <v>#REF!</v>
      </c>
      <c r="EW32" t="e">
        <f>AND(#REF!,"AAAAADbrvJg=")</f>
        <v>#REF!</v>
      </c>
      <c r="EX32" t="e">
        <f>AND(#REF!,"AAAAADbrvJk=")</f>
        <v>#REF!</v>
      </c>
      <c r="EY32" t="e">
        <f>AND(#REF!,"AAAAADbrvJo=")</f>
        <v>#REF!</v>
      </c>
      <c r="EZ32" t="e">
        <f>AND(#REF!,"AAAAADbrvJs=")</f>
        <v>#REF!</v>
      </c>
      <c r="FA32" t="e">
        <f>AND(#REF!,"AAAAADbrvJw=")</f>
        <v>#REF!</v>
      </c>
      <c r="FB32" t="e">
        <f>AND(#REF!,"AAAAADbrvJ0=")</f>
        <v>#REF!</v>
      </c>
      <c r="FC32" t="e">
        <f>AND(#REF!,"AAAAADbrvJ4=")</f>
        <v>#REF!</v>
      </c>
      <c r="FD32" t="e">
        <f>AND(#REF!,"AAAAADbrvJ8=")</f>
        <v>#REF!</v>
      </c>
      <c r="FE32" t="e">
        <f>AND(#REF!,"AAAAADbrvKA=")</f>
        <v>#REF!</v>
      </c>
      <c r="FF32" t="e">
        <f>AND(#REF!,"AAAAADbrvKE=")</f>
        <v>#REF!</v>
      </c>
      <c r="FG32" t="e">
        <f>AND(#REF!,"AAAAADbrvKI=")</f>
        <v>#REF!</v>
      </c>
      <c r="FH32" t="e">
        <f>AND(#REF!,"AAAAADbrvKM=")</f>
        <v>#REF!</v>
      </c>
      <c r="FI32" t="e">
        <f>AND(#REF!,"AAAAADbrvKQ=")</f>
        <v>#REF!</v>
      </c>
      <c r="FJ32" t="e">
        <f>AND(#REF!,"AAAAADbrvKU=")</f>
        <v>#REF!</v>
      </c>
      <c r="FK32" t="e">
        <f>AND(#REF!,"AAAAADbrvKY=")</f>
        <v>#REF!</v>
      </c>
      <c r="FL32" t="e">
        <f>AND(#REF!,"AAAAADbrvKc=")</f>
        <v>#REF!</v>
      </c>
      <c r="FM32" t="e">
        <f>AND(#REF!,"AAAAADbrvKg=")</f>
        <v>#REF!</v>
      </c>
      <c r="FN32" t="e">
        <f>AND(#REF!,"AAAAADbrvKk=")</f>
        <v>#REF!</v>
      </c>
      <c r="FO32" t="e">
        <f>AND(#REF!,"AAAAADbrvKo=")</f>
        <v>#REF!</v>
      </c>
      <c r="FP32" t="e">
        <f>AND(#REF!,"AAAAADbrvKs=")</f>
        <v>#REF!</v>
      </c>
      <c r="FQ32" t="e">
        <f>AND(#REF!,"AAAAADbrvKw=")</f>
        <v>#REF!</v>
      </c>
      <c r="FR32" t="e">
        <f>AND(#REF!,"AAAAADbrvK0=")</f>
        <v>#REF!</v>
      </c>
      <c r="FS32" t="e">
        <f>IF(#REF!,"AAAAADbrvK4=",0)</f>
        <v>#REF!</v>
      </c>
      <c r="FT32" t="e">
        <f>AND(#REF!,"AAAAADbrvK8=")</f>
        <v>#REF!</v>
      </c>
      <c r="FU32" t="e">
        <f>AND(#REF!,"AAAAADbrvLA=")</f>
        <v>#REF!</v>
      </c>
      <c r="FV32" t="e">
        <f>AND(#REF!,"AAAAADbrvLE=")</f>
        <v>#REF!</v>
      </c>
      <c r="FW32" t="e">
        <f>AND(#REF!,"AAAAADbrvLI=")</f>
        <v>#REF!</v>
      </c>
      <c r="FX32" t="e">
        <f>AND(#REF!,"AAAAADbrvLM=")</f>
        <v>#REF!</v>
      </c>
      <c r="FY32" t="e">
        <f>AND(#REF!,"AAAAADbrvLQ=")</f>
        <v>#REF!</v>
      </c>
      <c r="FZ32" t="e">
        <f>AND(#REF!,"AAAAADbrvLU=")</f>
        <v>#REF!</v>
      </c>
      <c r="GA32" t="e">
        <f>AND(#REF!,"AAAAADbrvLY=")</f>
        <v>#REF!</v>
      </c>
      <c r="GB32" t="e">
        <f>AND(#REF!,"AAAAADbrvLc=")</f>
        <v>#REF!</v>
      </c>
      <c r="GC32" t="e">
        <f>AND(#REF!,"AAAAADbrvLg=")</f>
        <v>#REF!</v>
      </c>
      <c r="GD32" t="e">
        <f>AND(#REF!,"AAAAADbrvLk=")</f>
        <v>#REF!</v>
      </c>
      <c r="GE32" t="e">
        <f>AND(#REF!,"AAAAADbrvLo=")</f>
        <v>#REF!</v>
      </c>
      <c r="GF32" t="e">
        <f>AND(#REF!,"AAAAADbrvLs=")</f>
        <v>#REF!</v>
      </c>
      <c r="GG32" t="e">
        <f>AND(#REF!,"AAAAADbrvLw=")</f>
        <v>#REF!</v>
      </c>
      <c r="GH32" t="e">
        <f>AND(#REF!,"AAAAADbrvL0=")</f>
        <v>#REF!</v>
      </c>
      <c r="GI32" t="e">
        <f>AND(#REF!,"AAAAADbrvL4=")</f>
        <v>#REF!</v>
      </c>
      <c r="GJ32" t="e">
        <f>AND(#REF!,"AAAAADbrvL8=")</f>
        <v>#REF!</v>
      </c>
      <c r="GK32" t="e">
        <f>AND(#REF!,"AAAAADbrvMA=")</f>
        <v>#REF!</v>
      </c>
      <c r="GL32" t="e">
        <f>AND(#REF!,"AAAAADbrvME=")</f>
        <v>#REF!</v>
      </c>
      <c r="GM32" t="e">
        <f>AND(#REF!,"AAAAADbrvMI=")</f>
        <v>#REF!</v>
      </c>
      <c r="GN32" t="e">
        <f>AND(#REF!,"AAAAADbrvMM=")</f>
        <v>#REF!</v>
      </c>
      <c r="GO32" t="e">
        <f>AND(#REF!,"AAAAADbrvMQ=")</f>
        <v>#REF!</v>
      </c>
      <c r="GP32" t="e">
        <f>AND(#REF!,"AAAAADbrvMU=")</f>
        <v>#REF!</v>
      </c>
      <c r="GQ32" t="e">
        <f>IF(#REF!,"AAAAADbrvMY=",0)</f>
        <v>#REF!</v>
      </c>
      <c r="GR32" t="e">
        <f>AND(#REF!,"AAAAADbrvMc=")</f>
        <v>#REF!</v>
      </c>
      <c r="GS32" t="e">
        <f>AND(#REF!,"AAAAADbrvMg=")</f>
        <v>#REF!</v>
      </c>
      <c r="GT32" t="e">
        <f>AND(#REF!,"AAAAADbrvMk=")</f>
        <v>#REF!</v>
      </c>
      <c r="GU32" t="e">
        <f>AND(#REF!,"AAAAADbrvMo=")</f>
        <v>#REF!</v>
      </c>
      <c r="GV32" t="e">
        <f>AND(#REF!,"AAAAADbrvMs=")</f>
        <v>#REF!</v>
      </c>
      <c r="GW32" t="e">
        <f>AND(#REF!,"AAAAADbrvMw=")</f>
        <v>#REF!</v>
      </c>
      <c r="GX32" t="e">
        <f>AND(#REF!,"AAAAADbrvM0=")</f>
        <v>#REF!</v>
      </c>
      <c r="GY32" t="e">
        <f>AND(#REF!,"AAAAADbrvM4=")</f>
        <v>#REF!</v>
      </c>
      <c r="GZ32" t="e">
        <f>AND(#REF!,"AAAAADbrvM8=")</f>
        <v>#REF!</v>
      </c>
      <c r="HA32" t="e">
        <f>AND(#REF!,"AAAAADbrvNA=")</f>
        <v>#REF!</v>
      </c>
      <c r="HB32" t="e">
        <f>AND(#REF!,"AAAAADbrvNE=")</f>
        <v>#REF!</v>
      </c>
      <c r="HC32" t="e">
        <f>AND(#REF!,"AAAAADbrvNI=")</f>
        <v>#REF!</v>
      </c>
      <c r="HD32" t="e">
        <f>AND(#REF!,"AAAAADbrvNM=")</f>
        <v>#REF!</v>
      </c>
      <c r="HE32" t="e">
        <f>AND(#REF!,"AAAAADbrvNQ=")</f>
        <v>#REF!</v>
      </c>
      <c r="HF32" t="e">
        <f>AND(#REF!,"AAAAADbrvNU=")</f>
        <v>#REF!</v>
      </c>
      <c r="HG32" t="e">
        <f>AND(#REF!,"AAAAADbrvNY=")</f>
        <v>#REF!</v>
      </c>
      <c r="HH32" t="e">
        <f>AND(#REF!,"AAAAADbrvNc=")</f>
        <v>#REF!</v>
      </c>
      <c r="HI32" t="e">
        <f>AND(#REF!,"AAAAADbrvNg=")</f>
        <v>#REF!</v>
      </c>
      <c r="HJ32" t="e">
        <f>AND(#REF!,"AAAAADbrvNk=")</f>
        <v>#REF!</v>
      </c>
      <c r="HK32" t="e">
        <f>AND(#REF!,"AAAAADbrvNo=")</f>
        <v>#REF!</v>
      </c>
      <c r="HL32" t="e">
        <f>AND(#REF!,"AAAAADbrvNs=")</f>
        <v>#REF!</v>
      </c>
      <c r="HM32" t="e">
        <f>AND(#REF!,"AAAAADbrvNw=")</f>
        <v>#REF!</v>
      </c>
      <c r="HN32" t="e">
        <f>AND(#REF!,"AAAAADbrvN0=")</f>
        <v>#REF!</v>
      </c>
      <c r="HO32" t="e">
        <f>IF(#REF!,"AAAAADbrvN4=",0)</f>
        <v>#REF!</v>
      </c>
      <c r="HP32" t="e">
        <f>AND(#REF!,"AAAAADbrvN8=")</f>
        <v>#REF!</v>
      </c>
      <c r="HQ32" t="e">
        <f>AND(#REF!,"AAAAADbrvOA=")</f>
        <v>#REF!</v>
      </c>
      <c r="HR32" t="e">
        <f>AND(#REF!,"AAAAADbrvOE=")</f>
        <v>#REF!</v>
      </c>
      <c r="HS32" t="e">
        <f>AND(#REF!,"AAAAADbrvOI=")</f>
        <v>#REF!</v>
      </c>
      <c r="HT32" t="e">
        <f>AND(#REF!,"AAAAADbrvOM=")</f>
        <v>#REF!</v>
      </c>
      <c r="HU32" t="e">
        <f>AND(#REF!,"AAAAADbrvOQ=")</f>
        <v>#REF!</v>
      </c>
      <c r="HV32" t="e">
        <f>AND(#REF!,"AAAAADbrvOU=")</f>
        <v>#REF!</v>
      </c>
      <c r="HW32" t="e">
        <f>AND(#REF!,"AAAAADbrvOY=")</f>
        <v>#REF!</v>
      </c>
      <c r="HX32" t="e">
        <f>AND(#REF!,"AAAAADbrvOc=")</f>
        <v>#REF!</v>
      </c>
      <c r="HY32" t="e">
        <f>AND(#REF!,"AAAAADbrvOg=")</f>
        <v>#REF!</v>
      </c>
      <c r="HZ32" t="e">
        <f>AND(#REF!,"AAAAADbrvOk=")</f>
        <v>#REF!</v>
      </c>
      <c r="IA32" t="e">
        <f>AND(#REF!,"AAAAADbrvOo=")</f>
        <v>#REF!</v>
      </c>
      <c r="IB32" t="e">
        <f>AND(#REF!,"AAAAADbrvOs=")</f>
        <v>#REF!</v>
      </c>
      <c r="IC32" t="e">
        <f>AND(#REF!,"AAAAADbrvOw=")</f>
        <v>#REF!</v>
      </c>
      <c r="ID32" t="e">
        <f>AND(#REF!,"AAAAADbrvO0=")</f>
        <v>#REF!</v>
      </c>
      <c r="IE32" t="e">
        <f>AND(#REF!,"AAAAADbrvO4=")</f>
        <v>#REF!</v>
      </c>
      <c r="IF32" t="e">
        <f>AND(#REF!,"AAAAADbrvO8=")</f>
        <v>#REF!</v>
      </c>
      <c r="IG32" t="e">
        <f>AND(#REF!,"AAAAADbrvPA=")</f>
        <v>#REF!</v>
      </c>
      <c r="IH32" t="e">
        <f>AND(#REF!,"AAAAADbrvPE=")</f>
        <v>#REF!</v>
      </c>
      <c r="II32" t="e">
        <f>AND(#REF!,"AAAAADbrvPI=")</f>
        <v>#REF!</v>
      </c>
      <c r="IJ32" t="e">
        <f>AND(#REF!,"AAAAADbrvPM=")</f>
        <v>#REF!</v>
      </c>
      <c r="IK32" t="e">
        <f>AND(#REF!,"AAAAADbrvPQ=")</f>
        <v>#REF!</v>
      </c>
      <c r="IL32" t="e">
        <f>AND(#REF!,"AAAAADbrvPU=")</f>
        <v>#REF!</v>
      </c>
      <c r="IM32" t="e">
        <f>IF(#REF!,"AAAAADbrvPY=",0)</f>
        <v>#REF!</v>
      </c>
      <c r="IN32" t="e">
        <f>AND(#REF!,"AAAAADbrvPc=")</f>
        <v>#REF!</v>
      </c>
      <c r="IO32" t="e">
        <f>AND(#REF!,"AAAAADbrvPg=")</f>
        <v>#REF!</v>
      </c>
      <c r="IP32" t="e">
        <f>AND(#REF!,"AAAAADbrvPk=")</f>
        <v>#REF!</v>
      </c>
      <c r="IQ32" t="e">
        <f>AND(#REF!,"AAAAADbrvPo=")</f>
        <v>#REF!</v>
      </c>
      <c r="IR32" t="e">
        <f>AND(#REF!,"AAAAADbrvPs=")</f>
        <v>#REF!</v>
      </c>
      <c r="IS32" t="e">
        <f>AND(#REF!,"AAAAADbrvPw=")</f>
        <v>#REF!</v>
      </c>
      <c r="IT32" t="e">
        <f>AND(#REF!,"AAAAADbrvP0=")</f>
        <v>#REF!</v>
      </c>
      <c r="IU32" t="e">
        <f>AND(#REF!,"AAAAADbrvP4=")</f>
        <v>#REF!</v>
      </c>
      <c r="IV32" t="e">
        <f>AND(#REF!,"AAAAADbrvP8=")</f>
        <v>#REF!</v>
      </c>
    </row>
    <row r="33" spans="1:256" x14ac:dyDescent="0.25">
      <c r="A33" t="e">
        <f>AND(#REF!,"AAAAAGzruwA=")</f>
        <v>#REF!</v>
      </c>
      <c r="B33" t="e">
        <f>AND(#REF!,"AAAAAGzruwE=")</f>
        <v>#REF!</v>
      </c>
      <c r="C33" t="e">
        <f>AND(#REF!,"AAAAAGzruwI=")</f>
        <v>#REF!</v>
      </c>
      <c r="D33" t="e">
        <f>AND(#REF!,"AAAAAGzruwM=")</f>
        <v>#REF!</v>
      </c>
      <c r="E33" t="e">
        <f>AND(#REF!,"AAAAAGzruwQ=")</f>
        <v>#REF!</v>
      </c>
      <c r="F33" t="e">
        <f>AND(#REF!,"AAAAAGzruwU=")</f>
        <v>#REF!</v>
      </c>
      <c r="G33" t="e">
        <f>AND(#REF!,"AAAAAGzruwY=")</f>
        <v>#REF!</v>
      </c>
      <c r="H33" t="e">
        <f>AND(#REF!,"AAAAAGzruwc=")</f>
        <v>#REF!</v>
      </c>
      <c r="I33" t="e">
        <f>AND(#REF!,"AAAAAGzruwg=")</f>
        <v>#REF!</v>
      </c>
      <c r="J33" t="e">
        <f>AND(#REF!,"AAAAAGzruwk=")</f>
        <v>#REF!</v>
      </c>
      <c r="K33" t="e">
        <f>AND(#REF!,"AAAAAGzruwo=")</f>
        <v>#REF!</v>
      </c>
      <c r="L33" t="e">
        <f>AND(#REF!,"AAAAAGzruws=")</f>
        <v>#REF!</v>
      </c>
      <c r="M33" t="e">
        <f>AND(#REF!,"AAAAAGzruww=")</f>
        <v>#REF!</v>
      </c>
      <c r="N33" t="e">
        <f>AND(#REF!,"AAAAAGzruw0=")</f>
        <v>#REF!</v>
      </c>
      <c r="O33" t="e">
        <f>IF(#REF!,"AAAAAGzruw4=",0)</f>
        <v>#REF!</v>
      </c>
      <c r="P33" t="e">
        <f>AND(#REF!,"AAAAAGzruw8=")</f>
        <v>#REF!</v>
      </c>
      <c r="Q33" t="e">
        <f>AND(#REF!,"AAAAAGzruxA=")</f>
        <v>#REF!</v>
      </c>
      <c r="R33" t="e">
        <f>AND(#REF!,"AAAAAGzruxE=")</f>
        <v>#REF!</v>
      </c>
      <c r="S33" t="e">
        <f>AND(#REF!,"AAAAAGzruxI=")</f>
        <v>#REF!</v>
      </c>
      <c r="T33" t="e">
        <f>AND(#REF!,"AAAAAGzruxM=")</f>
        <v>#REF!</v>
      </c>
      <c r="U33" t="e">
        <f>AND(#REF!,"AAAAAGzruxQ=")</f>
        <v>#REF!</v>
      </c>
      <c r="V33" t="e">
        <f>AND(#REF!,"AAAAAGzruxU=")</f>
        <v>#REF!</v>
      </c>
      <c r="W33" t="e">
        <f>AND(#REF!,"AAAAAGzruxY=")</f>
        <v>#REF!</v>
      </c>
      <c r="X33" t="e">
        <f>AND(#REF!,"AAAAAGzruxc=")</f>
        <v>#REF!</v>
      </c>
      <c r="Y33" t="e">
        <f>AND(#REF!,"AAAAAGzruxg=")</f>
        <v>#REF!</v>
      </c>
      <c r="Z33" t="e">
        <f>AND(#REF!,"AAAAAGzruxk=")</f>
        <v>#REF!</v>
      </c>
      <c r="AA33" t="e">
        <f>AND(#REF!,"AAAAAGzruxo=")</f>
        <v>#REF!</v>
      </c>
      <c r="AB33" t="e">
        <f>AND(#REF!,"AAAAAGzruxs=")</f>
        <v>#REF!</v>
      </c>
      <c r="AC33" t="e">
        <f>AND(#REF!,"AAAAAGzruxw=")</f>
        <v>#REF!</v>
      </c>
      <c r="AD33" t="e">
        <f>AND(#REF!,"AAAAAGzrux0=")</f>
        <v>#REF!</v>
      </c>
      <c r="AE33" t="e">
        <f>AND(#REF!,"AAAAAGzrux4=")</f>
        <v>#REF!</v>
      </c>
      <c r="AF33" t="e">
        <f>AND(#REF!,"AAAAAGzrux8=")</f>
        <v>#REF!</v>
      </c>
      <c r="AG33" t="e">
        <f>AND(#REF!,"AAAAAGzruyA=")</f>
        <v>#REF!</v>
      </c>
      <c r="AH33" t="e">
        <f>AND(#REF!,"AAAAAGzruyE=")</f>
        <v>#REF!</v>
      </c>
      <c r="AI33" t="e">
        <f>AND(#REF!,"AAAAAGzruyI=")</f>
        <v>#REF!</v>
      </c>
      <c r="AJ33" t="e">
        <f>AND(#REF!,"AAAAAGzruyM=")</f>
        <v>#REF!</v>
      </c>
      <c r="AK33" t="e">
        <f>AND(#REF!,"AAAAAGzruyQ=")</f>
        <v>#REF!</v>
      </c>
      <c r="AL33" t="e">
        <f>AND(#REF!,"AAAAAGzruyU=")</f>
        <v>#REF!</v>
      </c>
      <c r="AM33" t="e">
        <f>IF(#REF!,"AAAAAGzruyY=",0)</f>
        <v>#REF!</v>
      </c>
      <c r="AN33" t="e">
        <f>AND(#REF!,"AAAAAGzruyc=")</f>
        <v>#REF!</v>
      </c>
      <c r="AO33" t="e">
        <f>AND(#REF!,"AAAAAGzruyg=")</f>
        <v>#REF!</v>
      </c>
      <c r="AP33" t="e">
        <f>AND(#REF!,"AAAAAGzruyk=")</f>
        <v>#REF!</v>
      </c>
      <c r="AQ33" t="e">
        <f>AND(#REF!,"AAAAAGzruyo=")</f>
        <v>#REF!</v>
      </c>
      <c r="AR33" t="e">
        <f>AND(#REF!,"AAAAAGzruys=")</f>
        <v>#REF!</v>
      </c>
      <c r="AS33" t="e">
        <f>AND(#REF!,"AAAAAGzruyw=")</f>
        <v>#REF!</v>
      </c>
      <c r="AT33" t="e">
        <f>AND(#REF!,"AAAAAGzruy0=")</f>
        <v>#REF!</v>
      </c>
      <c r="AU33" t="e">
        <f>AND(#REF!,"AAAAAGzruy4=")</f>
        <v>#REF!</v>
      </c>
      <c r="AV33" t="e">
        <f>AND(#REF!,"AAAAAGzruy8=")</f>
        <v>#REF!</v>
      </c>
      <c r="AW33" t="e">
        <f>AND(#REF!,"AAAAAGzruzA=")</f>
        <v>#REF!</v>
      </c>
      <c r="AX33" t="e">
        <f>AND(#REF!,"AAAAAGzruzE=")</f>
        <v>#REF!</v>
      </c>
      <c r="AY33" t="e">
        <f>AND(#REF!,"AAAAAGzruzI=")</f>
        <v>#REF!</v>
      </c>
      <c r="AZ33" t="e">
        <f>AND(#REF!,"AAAAAGzruzM=")</f>
        <v>#REF!</v>
      </c>
      <c r="BA33" t="e">
        <f>AND(#REF!,"AAAAAGzruzQ=")</f>
        <v>#REF!</v>
      </c>
      <c r="BB33" t="e">
        <f>AND(#REF!,"AAAAAGzruzU=")</f>
        <v>#REF!</v>
      </c>
      <c r="BC33" t="e">
        <f>AND(#REF!,"AAAAAGzruzY=")</f>
        <v>#REF!</v>
      </c>
      <c r="BD33" t="e">
        <f>AND(#REF!,"AAAAAGzruzc=")</f>
        <v>#REF!</v>
      </c>
      <c r="BE33" t="e">
        <f>AND(#REF!,"AAAAAGzruzg=")</f>
        <v>#REF!</v>
      </c>
      <c r="BF33" t="e">
        <f>AND(#REF!,"AAAAAGzruzk=")</f>
        <v>#REF!</v>
      </c>
      <c r="BG33" t="e">
        <f>AND(#REF!,"AAAAAGzruzo=")</f>
        <v>#REF!</v>
      </c>
      <c r="BH33" t="e">
        <f>AND(#REF!,"AAAAAGzruzs=")</f>
        <v>#REF!</v>
      </c>
      <c r="BI33" t="e">
        <f>AND(#REF!,"AAAAAGzruzw=")</f>
        <v>#REF!</v>
      </c>
      <c r="BJ33" t="e">
        <f>AND(#REF!,"AAAAAGzruz0=")</f>
        <v>#REF!</v>
      </c>
      <c r="BK33" t="e">
        <f>IF(#REF!,"AAAAAGzruz4=",0)</f>
        <v>#REF!</v>
      </c>
      <c r="BL33" t="e">
        <f>AND(#REF!,"AAAAAGzruz8=")</f>
        <v>#REF!</v>
      </c>
      <c r="BM33" t="e">
        <f>AND(#REF!,"AAAAAGzru0A=")</f>
        <v>#REF!</v>
      </c>
      <c r="BN33" t="e">
        <f>AND(#REF!,"AAAAAGzru0E=")</f>
        <v>#REF!</v>
      </c>
      <c r="BO33" t="e">
        <f>AND(#REF!,"AAAAAGzru0I=")</f>
        <v>#REF!</v>
      </c>
      <c r="BP33" t="e">
        <f>AND(#REF!,"AAAAAGzru0M=")</f>
        <v>#REF!</v>
      </c>
      <c r="BQ33" t="e">
        <f>AND(#REF!,"AAAAAGzru0Q=")</f>
        <v>#REF!</v>
      </c>
      <c r="BR33" t="e">
        <f>AND(#REF!,"AAAAAGzru0U=")</f>
        <v>#REF!</v>
      </c>
      <c r="BS33" t="e">
        <f>AND(#REF!,"AAAAAGzru0Y=")</f>
        <v>#REF!</v>
      </c>
      <c r="BT33" t="e">
        <f>AND(#REF!,"AAAAAGzru0c=")</f>
        <v>#REF!</v>
      </c>
      <c r="BU33" t="e">
        <f>AND(#REF!,"AAAAAGzru0g=")</f>
        <v>#REF!</v>
      </c>
      <c r="BV33" t="e">
        <f>AND(#REF!,"AAAAAGzru0k=")</f>
        <v>#REF!</v>
      </c>
      <c r="BW33" t="e">
        <f>AND(#REF!,"AAAAAGzru0o=")</f>
        <v>#REF!</v>
      </c>
      <c r="BX33" t="e">
        <f>AND(#REF!,"AAAAAGzru0s=")</f>
        <v>#REF!</v>
      </c>
      <c r="BY33" t="e">
        <f>AND(#REF!,"AAAAAGzru0w=")</f>
        <v>#REF!</v>
      </c>
      <c r="BZ33" t="e">
        <f>AND(#REF!,"AAAAAGzru00=")</f>
        <v>#REF!</v>
      </c>
      <c r="CA33" t="e">
        <f>AND(#REF!,"AAAAAGzru04=")</f>
        <v>#REF!</v>
      </c>
      <c r="CB33" t="e">
        <f>AND(#REF!,"AAAAAGzru08=")</f>
        <v>#REF!</v>
      </c>
      <c r="CC33" t="e">
        <f>AND(#REF!,"AAAAAGzru1A=")</f>
        <v>#REF!</v>
      </c>
      <c r="CD33" t="e">
        <f>AND(#REF!,"AAAAAGzru1E=")</f>
        <v>#REF!</v>
      </c>
      <c r="CE33" t="e">
        <f>AND(#REF!,"AAAAAGzru1I=")</f>
        <v>#REF!</v>
      </c>
      <c r="CF33" t="e">
        <f>AND(#REF!,"AAAAAGzru1M=")</f>
        <v>#REF!</v>
      </c>
      <c r="CG33" t="e">
        <f>AND(#REF!,"AAAAAGzru1Q=")</f>
        <v>#REF!</v>
      </c>
      <c r="CH33" t="e">
        <f>AND(#REF!,"AAAAAGzru1U=")</f>
        <v>#REF!</v>
      </c>
      <c r="CI33" t="e">
        <f>IF(#REF!,"AAAAAGzru1Y=",0)</f>
        <v>#REF!</v>
      </c>
      <c r="CJ33" t="e">
        <f>IF(#REF!,"AAAAAGzru1c=",0)</f>
        <v>#REF!</v>
      </c>
      <c r="CK33" t="e">
        <f>IF(#REF!,"AAAAAGzru1g=",0)</f>
        <v>#REF!</v>
      </c>
      <c r="CL33" t="e">
        <f>IF(#REF!,"AAAAAGzru1k=",0)</f>
        <v>#REF!</v>
      </c>
      <c r="CM33" t="e">
        <f>IF(#REF!,"AAAAAGzru1o=",0)</f>
        <v>#REF!</v>
      </c>
      <c r="CN33" t="e">
        <f>IF(#REF!,"AAAAAGzru1s=",0)</f>
        <v>#REF!</v>
      </c>
      <c r="CO33" t="e">
        <f>IF(#REF!,"AAAAAGzru1w=",0)</f>
        <v>#REF!</v>
      </c>
      <c r="CP33" t="e">
        <f>IF(#REF!,"AAAAAGzru10=",0)</f>
        <v>#REF!</v>
      </c>
      <c r="CQ33" t="e">
        <f>IF(#REF!,"AAAAAGzru14=",0)</f>
        <v>#REF!</v>
      </c>
      <c r="CR33" t="e">
        <f>IF(#REF!,"AAAAAGzru18=",0)</f>
        <v>#REF!</v>
      </c>
      <c r="CS33" t="e">
        <f>IF(#REF!,"AAAAAGzru2A=",0)</f>
        <v>#REF!</v>
      </c>
      <c r="CT33" t="e">
        <f>IF(#REF!,"AAAAAGzru2E=",0)</f>
        <v>#REF!</v>
      </c>
      <c r="CU33" t="e">
        <f>IF(#REF!,"AAAAAGzru2I=",0)</f>
        <v>#REF!</v>
      </c>
      <c r="CV33" t="e">
        <f>IF(#REF!,"AAAAAGzru2M=",0)</f>
        <v>#REF!</v>
      </c>
      <c r="CW33" t="e">
        <f>IF(#REF!,"AAAAAGzru2Q=",0)</f>
        <v>#REF!</v>
      </c>
      <c r="CX33" t="e">
        <f>IF(#REF!,"AAAAAGzru2U=",0)</f>
        <v>#REF!</v>
      </c>
      <c r="CY33" t="e">
        <f>IF(#REF!,"AAAAAGzru2Y=",0)</f>
        <v>#REF!</v>
      </c>
      <c r="CZ33" t="e">
        <f>IF(#REF!,"AAAAAGzru2c=",0)</f>
        <v>#REF!</v>
      </c>
      <c r="DA33" t="e">
        <f>IF(#REF!,"AAAAAGzru2g=",0)</f>
        <v>#REF!</v>
      </c>
      <c r="DB33" t="e">
        <f>IF(#REF!,"AAAAAGzru2k=",0)</f>
        <v>#REF!</v>
      </c>
      <c r="DC33" t="e">
        <f>IF(#REF!,"AAAAAGzru2o=",0)</f>
        <v>#REF!</v>
      </c>
      <c r="DD33" t="e">
        <f>IF(#REF!,"AAAAAGzru2s=",0)</f>
        <v>#REF!</v>
      </c>
      <c r="DE33" t="e">
        <f>IF(#REF!,"AAAAAGzru2w=",0)</f>
        <v>#REF!</v>
      </c>
      <c r="DF33" t="e">
        <f>IF(#REF!,"AAAAAGzru20=",0)</f>
        <v>#REF!</v>
      </c>
      <c r="DG33" t="e">
        <f>AND(#REF!,"AAAAAGzru24=")</f>
        <v>#REF!</v>
      </c>
      <c r="DH33" t="e">
        <f>AND(#REF!,"AAAAAGzru28=")</f>
        <v>#REF!</v>
      </c>
      <c r="DI33" t="e">
        <f>AND(#REF!,"AAAAAGzru3A=")</f>
        <v>#REF!</v>
      </c>
      <c r="DJ33" t="e">
        <f>AND(#REF!,"AAAAAGzru3E=")</f>
        <v>#REF!</v>
      </c>
      <c r="DK33" t="e">
        <f>AND(#REF!,"AAAAAGzru3I=")</f>
        <v>#REF!</v>
      </c>
      <c r="DL33" t="e">
        <f>AND(#REF!,"AAAAAGzru3M=")</f>
        <v>#REF!</v>
      </c>
      <c r="DM33" t="e">
        <f>AND(#REF!,"AAAAAGzru3Q=")</f>
        <v>#REF!</v>
      </c>
      <c r="DN33" t="e">
        <f>AND(#REF!,"AAAAAGzru3U=")</f>
        <v>#REF!</v>
      </c>
      <c r="DO33" t="e">
        <f>AND(#REF!,"AAAAAGzru3Y=")</f>
        <v>#REF!</v>
      </c>
      <c r="DP33" t="e">
        <f>AND(#REF!,"AAAAAGzru3c=")</f>
        <v>#REF!</v>
      </c>
      <c r="DQ33" t="e">
        <f>AND(#REF!,"AAAAAGzru3g=")</f>
        <v>#REF!</v>
      </c>
      <c r="DR33" t="e">
        <f>AND(#REF!,"AAAAAGzru3k=")</f>
        <v>#REF!</v>
      </c>
      <c r="DS33" t="e">
        <f>AND(#REF!,"AAAAAGzru3o=")</f>
        <v>#REF!</v>
      </c>
      <c r="DT33" t="e">
        <f>AND(#REF!,"AAAAAGzru3s=")</f>
        <v>#REF!</v>
      </c>
      <c r="DU33" t="e">
        <f>AND(#REF!,"AAAAAGzru3w=")</f>
        <v>#REF!</v>
      </c>
      <c r="DV33" t="e">
        <f>AND(#REF!,"AAAAAGzru30=")</f>
        <v>#REF!</v>
      </c>
      <c r="DW33" t="e">
        <f>AND(#REF!,"AAAAAGzru34=")</f>
        <v>#REF!</v>
      </c>
      <c r="DX33" t="e">
        <f>AND(#REF!,"AAAAAGzru38=")</f>
        <v>#REF!</v>
      </c>
      <c r="DY33" t="e">
        <f>AND(#REF!,"AAAAAGzru4A=")</f>
        <v>#REF!</v>
      </c>
      <c r="DZ33" t="e">
        <f>AND(#REF!,"AAAAAGzru4E=")</f>
        <v>#REF!</v>
      </c>
      <c r="EA33" t="e">
        <f>AND(#REF!,"AAAAAGzru4I=")</f>
        <v>#REF!</v>
      </c>
      <c r="EB33" t="e">
        <f>AND(#REF!,"AAAAAGzru4M=")</f>
        <v>#REF!</v>
      </c>
      <c r="EC33" t="e">
        <f>AND(#REF!,"AAAAAGzru4Q=")</f>
        <v>#REF!</v>
      </c>
      <c r="ED33" t="e">
        <f>IF(#REF!,"AAAAAGzru4U=",0)</f>
        <v>#REF!</v>
      </c>
      <c r="EE33" t="e">
        <f>AND(#REF!,"AAAAAGzru4Y=")</f>
        <v>#REF!</v>
      </c>
      <c r="EF33" t="e">
        <f>AND(#REF!,"AAAAAGzru4c=")</f>
        <v>#REF!</v>
      </c>
      <c r="EG33" t="e">
        <f>AND(#REF!,"AAAAAGzru4g=")</f>
        <v>#REF!</v>
      </c>
      <c r="EH33" t="e">
        <f>AND(#REF!,"AAAAAGzru4k=")</f>
        <v>#REF!</v>
      </c>
      <c r="EI33" t="e">
        <f>AND(#REF!,"AAAAAGzru4o=")</f>
        <v>#REF!</v>
      </c>
      <c r="EJ33" t="e">
        <f>AND(#REF!,"AAAAAGzru4s=")</f>
        <v>#REF!</v>
      </c>
      <c r="EK33" t="e">
        <f>AND(#REF!,"AAAAAGzru4w=")</f>
        <v>#REF!</v>
      </c>
      <c r="EL33" t="e">
        <f>AND(#REF!,"AAAAAGzru40=")</f>
        <v>#REF!</v>
      </c>
      <c r="EM33" t="e">
        <f>AND(#REF!,"AAAAAGzru44=")</f>
        <v>#REF!</v>
      </c>
      <c r="EN33" t="e">
        <f>AND(#REF!,"AAAAAGzru48=")</f>
        <v>#REF!</v>
      </c>
      <c r="EO33" t="e">
        <f>AND(#REF!,"AAAAAGzru5A=")</f>
        <v>#REF!</v>
      </c>
      <c r="EP33" t="e">
        <f>AND(#REF!,"AAAAAGzru5E=")</f>
        <v>#REF!</v>
      </c>
      <c r="EQ33" t="e">
        <f>AND(#REF!,"AAAAAGzru5I=")</f>
        <v>#REF!</v>
      </c>
      <c r="ER33" t="e">
        <f>AND(#REF!,"AAAAAGzru5M=")</f>
        <v>#REF!</v>
      </c>
      <c r="ES33" t="e">
        <f>AND(#REF!,"AAAAAGzru5Q=")</f>
        <v>#REF!</v>
      </c>
      <c r="ET33" t="e">
        <f>AND(#REF!,"AAAAAGzru5U=")</f>
        <v>#REF!</v>
      </c>
      <c r="EU33" t="e">
        <f>AND(#REF!,"AAAAAGzru5Y=")</f>
        <v>#REF!</v>
      </c>
      <c r="EV33" t="e">
        <f>AND(#REF!,"AAAAAGzru5c=")</f>
        <v>#REF!</v>
      </c>
      <c r="EW33" t="e">
        <f>AND(#REF!,"AAAAAGzru5g=")</f>
        <v>#REF!</v>
      </c>
      <c r="EX33" t="e">
        <f>AND(#REF!,"AAAAAGzru5k=")</f>
        <v>#REF!</v>
      </c>
      <c r="EY33" t="e">
        <f>AND(#REF!,"AAAAAGzru5o=")</f>
        <v>#REF!</v>
      </c>
      <c r="EZ33" t="e">
        <f>AND(#REF!,"AAAAAGzru5s=")</f>
        <v>#REF!</v>
      </c>
      <c r="FA33" t="e">
        <f>AND(#REF!,"AAAAAGzru5w=")</f>
        <v>#REF!</v>
      </c>
      <c r="FB33" t="e">
        <f>IF(#REF!,"AAAAAGzru50=",0)</f>
        <v>#REF!</v>
      </c>
      <c r="FC33" t="e">
        <f>AND(#REF!,"AAAAAGzru54=")</f>
        <v>#REF!</v>
      </c>
      <c r="FD33" t="e">
        <f>AND(#REF!,"AAAAAGzru58=")</f>
        <v>#REF!</v>
      </c>
      <c r="FE33" t="e">
        <f>AND(#REF!,"AAAAAGzru6A=")</f>
        <v>#REF!</v>
      </c>
      <c r="FF33" t="e">
        <f>AND(#REF!,"AAAAAGzru6E=")</f>
        <v>#REF!</v>
      </c>
      <c r="FG33" t="e">
        <f>AND(#REF!,"AAAAAGzru6I=")</f>
        <v>#REF!</v>
      </c>
      <c r="FH33" t="e">
        <f>AND(#REF!,"AAAAAGzru6M=")</f>
        <v>#REF!</v>
      </c>
      <c r="FI33" t="e">
        <f>AND(#REF!,"AAAAAGzru6Q=")</f>
        <v>#REF!</v>
      </c>
      <c r="FJ33" t="e">
        <f>AND(#REF!,"AAAAAGzru6U=")</f>
        <v>#REF!</v>
      </c>
      <c r="FK33" t="e">
        <f>AND(#REF!,"AAAAAGzru6Y=")</f>
        <v>#REF!</v>
      </c>
      <c r="FL33" t="e">
        <f>AND(#REF!,"AAAAAGzru6c=")</f>
        <v>#REF!</v>
      </c>
      <c r="FM33" t="e">
        <f>AND(#REF!,"AAAAAGzru6g=")</f>
        <v>#REF!</v>
      </c>
      <c r="FN33" t="e">
        <f>AND(#REF!,"AAAAAGzru6k=")</f>
        <v>#REF!</v>
      </c>
      <c r="FO33" t="e">
        <f>AND(#REF!,"AAAAAGzru6o=")</f>
        <v>#REF!</v>
      </c>
      <c r="FP33" t="e">
        <f>AND(#REF!,"AAAAAGzru6s=")</f>
        <v>#REF!</v>
      </c>
      <c r="FQ33" t="e">
        <f>AND(#REF!,"AAAAAGzru6w=")</f>
        <v>#REF!</v>
      </c>
      <c r="FR33" t="e">
        <f>AND(#REF!,"AAAAAGzru60=")</f>
        <v>#REF!</v>
      </c>
      <c r="FS33" t="e">
        <f>AND(#REF!,"AAAAAGzru64=")</f>
        <v>#REF!</v>
      </c>
      <c r="FT33" t="e">
        <f>AND(#REF!,"AAAAAGzru68=")</f>
        <v>#REF!</v>
      </c>
      <c r="FU33" t="e">
        <f>AND(#REF!,"AAAAAGzru7A=")</f>
        <v>#REF!</v>
      </c>
      <c r="FV33" t="e">
        <f>AND(#REF!,"AAAAAGzru7E=")</f>
        <v>#REF!</v>
      </c>
      <c r="FW33" t="e">
        <f>AND(#REF!,"AAAAAGzru7I=")</f>
        <v>#REF!</v>
      </c>
      <c r="FX33" t="e">
        <f>AND(#REF!,"AAAAAGzru7M=")</f>
        <v>#REF!</v>
      </c>
      <c r="FY33" t="e">
        <f>AND(#REF!,"AAAAAGzru7Q=")</f>
        <v>#REF!</v>
      </c>
      <c r="FZ33" t="e">
        <f>IF(#REF!,"AAAAAGzru7U=",0)</f>
        <v>#REF!</v>
      </c>
      <c r="GA33" t="e">
        <f>AND(#REF!,"AAAAAGzru7Y=")</f>
        <v>#REF!</v>
      </c>
      <c r="GB33" t="e">
        <f>AND(#REF!,"AAAAAGzru7c=")</f>
        <v>#REF!</v>
      </c>
      <c r="GC33" t="e">
        <f>AND(#REF!,"AAAAAGzru7g=")</f>
        <v>#REF!</v>
      </c>
      <c r="GD33" t="e">
        <f>AND(#REF!,"AAAAAGzru7k=")</f>
        <v>#REF!</v>
      </c>
      <c r="GE33" t="e">
        <f>AND(#REF!,"AAAAAGzru7o=")</f>
        <v>#REF!</v>
      </c>
      <c r="GF33" t="e">
        <f>AND(#REF!,"AAAAAGzru7s=")</f>
        <v>#REF!</v>
      </c>
      <c r="GG33" t="e">
        <f>AND(#REF!,"AAAAAGzru7w=")</f>
        <v>#REF!</v>
      </c>
      <c r="GH33" t="e">
        <f>AND(#REF!,"AAAAAGzru70=")</f>
        <v>#REF!</v>
      </c>
      <c r="GI33" t="e">
        <f>AND(#REF!,"AAAAAGzru74=")</f>
        <v>#REF!</v>
      </c>
      <c r="GJ33" t="e">
        <f>AND(#REF!,"AAAAAGzru78=")</f>
        <v>#REF!</v>
      </c>
      <c r="GK33" t="e">
        <f>AND(#REF!,"AAAAAGzru8A=")</f>
        <v>#REF!</v>
      </c>
      <c r="GL33" t="e">
        <f>AND(#REF!,"AAAAAGzru8E=")</f>
        <v>#REF!</v>
      </c>
      <c r="GM33" t="e">
        <f>AND(#REF!,"AAAAAGzru8I=")</f>
        <v>#REF!</v>
      </c>
      <c r="GN33" t="e">
        <f>AND(#REF!,"AAAAAGzru8M=")</f>
        <v>#REF!</v>
      </c>
      <c r="GO33" t="e">
        <f>AND(#REF!,"AAAAAGzru8Q=")</f>
        <v>#REF!</v>
      </c>
      <c r="GP33" t="e">
        <f>AND(#REF!,"AAAAAGzru8U=")</f>
        <v>#REF!</v>
      </c>
      <c r="GQ33" t="e">
        <f>AND(#REF!,"AAAAAGzru8Y=")</f>
        <v>#REF!</v>
      </c>
      <c r="GR33" t="e">
        <f>AND(#REF!,"AAAAAGzru8c=")</f>
        <v>#REF!</v>
      </c>
      <c r="GS33" t="e">
        <f>AND(#REF!,"AAAAAGzru8g=")</f>
        <v>#REF!</v>
      </c>
      <c r="GT33" t="e">
        <f>AND(#REF!,"AAAAAGzru8k=")</f>
        <v>#REF!</v>
      </c>
      <c r="GU33" t="e">
        <f>AND(#REF!,"AAAAAGzru8o=")</f>
        <v>#REF!</v>
      </c>
      <c r="GV33" t="e">
        <f>AND(#REF!,"AAAAAGzru8s=")</f>
        <v>#REF!</v>
      </c>
      <c r="GW33" t="e">
        <f>AND(#REF!,"AAAAAGzru8w=")</f>
        <v>#REF!</v>
      </c>
      <c r="GX33" t="e">
        <f>IF(#REF!,"AAAAAGzru80=",0)</f>
        <v>#REF!</v>
      </c>
      <c r="GY33" t="e">
        <f>AND(#REF!,"AAAAAGzru84=")</f>
        <v>#REF!</v>
      </c>
      <c r="GZ33" t="e">
        <f>AND(#REF!,"AAAAAGzru88=")</f>
        <v>#REF!</v>
      </c>
      <c r="HA33" t="e">
        <f>AND(#REF!,"AAAAAGzru9A=")</f>
        <v>#REF!</v>
      </c>
      <c r="HB33" t="e">
        <f>AND(#REF!,"AAAAAGzru9E=")</f>
        <v>#REF!</v>
      </c>
      <c r="HC33" t="e">
        <f>AND(#REF!,"AAAAAGzru9I=")</f>
        <v>#REF!</v>
      </c>
      <c r="HD33" t="e">
        <f>AND(#REF!,"AAAAAGzru9M=")</f>
        <v>#REF!</v>
      </c>
      <c r="HE33" t="e">
        <f>AND(#REF!,"AAAAAGzru9Q=")</f>
        <v>#REF!</v>
      </c>
      <c r="HF33" t="e">
        <f>AND(#REF!,"AAAAAGzru9U=")</f>
        <v>#REF!</v>
      </c>
      <c r="HG33" t="e">
        <f>AND(#REF!,"AAAAAGzru9Y=")</f>
        <v>#REF!</v>
      </c>
      <c r="HH33" t="e">
        <f>AND(#REF!,"AAAAAGzru9c=")</f>
        <v>#REF!</v>
      </c>
      <c r="HI33" t="e">
        <f>AND(#REF!,"AAAAAGzru9g=")</f>
        <v>#REF!</v>
      </c>
      <c r="HJ33" t="e">
        <f>AND(#REF!,"AAAAAGzru9k=")</f>
        <v>#REF!</v>
      </c>
      <c r="HK33" t="e">
        <f>AND(#REF!,"AAAAAGzru9o=")</f>
        <v>#REF!</v>
      </c>
      <c r="HL33" t="e">
        <f>AND(#REF!,"AAAAAGzru9s=")</f>
        <v>#REF!</v>
      </c>
      <c r="HM33" t="e">
        <f>AND(#REF!,"AAAAAGzru9w=")</f>
        <v>#REF!</v>
      </c>
      <c r="HN33" t="e">
        <f>AND(#REF!,"AAAAAGzru90=")</f>
        <v>#REF!</v>
      </c>
      <c r="HO33" t="e">
        <f>AND(#REF!,"AAAAAGzru94=")</f>
        <v>#REF!</v>
      </c>
      <c r="HP33" t="e">
        <f>AND(#REF!,"AAAAAGzru98=")</f>
        <v>#REF!</v>
      </c>
      <c r="HQ33" t="e">
        <f>AND(#REF!,"AAAAAGzru+A=")</f>
        <v>#REF!</v>
      </c>
      <c r="HR33" t="e">
        <f>AND(#REF!,"AAAAAGzru+E=")</f>
        <v>#REF!</v>
      </c>
      <c r="HS33" t="e">
        <f>AND(#REF!,"AAAAAGzru+I=")</f>
        <v>#REF!</v>
      </c>
      <c r="HT33" t="e">
        <f>AND(#REF!,"AAAAAGzru+M=")</f>
        <v>#REF!</v>
      </c>
      <c r="HU33" t="e">
        <f>AND(#REF!,"AAAAAGzru+Q=")</f>
        <v>#REF!</v>
      </c>
      <c r="HV33" t="e">
        <f>IF(#REF!,"AAAAAGzru+U=",0)</f>
        <v>#REF!</v>
      </c>
      <c r="HW33" t="e">
        <f>AND(#REF!,"AAAAAGzru+Y=")</f>
        <v>#REF!</v>
      </c>
      <c r="HX33" t="e">
        <f>AND(#REF!,"AAAAAGzru+c=")</f>
        <v>#REF!</v>
      </c>
      <c r="HY33" t="e">
        <f>AND(#REF!,"AAAAAGzru+g=")</f>
        <v>#REF!</v>
      </c>
      <c r="HZ33" t="e">
        <f>AND(#REF!,"AAAAAGzru+k=")</f>
        <v>#REF!</v>
      </c>
      <c r="IA33" t="e">
        <f>AND(#REF!,"AAAAAGzru+o=")</f>
        <v>#REF!</v>
      </c>
      <c r="IB33" t="e">
        <f>AND(#REF!,"AAAAAGzru+s=")</f>
        <v>#REF!</v>
      </c>
      <c r="IC33" t="e">
        <f>AND(#REF!,"AAAAAGzru+w=")</f>
        <v>#REF!</v>
      </c>
      <c r="ID33" t="e">
        <f>AND(#REF!,"AAAAAGzru+0=")</f>
        <v>#REF!</v>
      </c>
      <c r="IE33" t="e">
        <f>AND(#REF!,"AAAAAGzru+4=")</f>
        <v>#REF!</v>
      </c>
      <c r="IF33" t="e">
        <f>AND(#REF!,"AAAAAGzru+8=")</f>
        <v>#REF!</v>
      </c>
      <c r="IG33" t="e">
        <f>AND(#REF!,"AAAAAGzru/A=")</f>
        <v>#REF!</v>
      </c>
      <c r="IH33" t="e">
        <f>AND(#REF!,"AAAAAGzru/E=")</f>
        <v>#REF!</v>
      </c>
      <c r="II33" t="e">
        <f>AND(#REF!,"AAAAAGzru/I=")</f>
        <v>#REF!</v>
      </c>
      <c r="IJ33" t="e">
        <f>AND(#REF!,"AAAAAGzru/M=")</f>
        <v>#REF!</v>
      </c>
      <c r="IK33" t="e">
        <f>AND(#REF!,"AAAAAGzru/Q=")</f>
        <v>#REF!</v>
      </c>
      <c r="IL33" t="e">
        <f>AND(#REF!,"AAAAAGzru/U=")</f>
        <v>#REF!</v>
      </c>
      <c r="IM33" t="e">
        <f>AND(#REF!,"AAAAAGzru/Y=")</f>
        <v>#REF!</v>
      </c>
      <c r="IN33" t="e">
        <f>AND(#REF!,"AAAAAGzru/c=")</f>
        <v>#REF!</v>
      </c>
      <c r="IO33" t="e">
        <f>AND(#REF!,"AAAAAGzru/g=")</f>
        <v>#REF!</v>
      </c>
      <c r="IP33" t="e">
        <f>AND(#REF!,"AAAAAGzru/k=")</f>
        <v>#REF!</v>
      </c>
      <c r="IQ33" t="e">
        <f>AND(#REF!,"AAAAAGzru/o=")</f>
        <v>#REF!</v>
      </c>
      <c r="IR33" t="e">
        <f>AND(#REF!,"AAAAAGzru/s=")</f>
        <v>#REF!</v>
      </c>
      <c r="IS33" t="e">
        <f>AND(#REF!,"AAAAAGzru/w=")</f>
        <v>#REF!</v>
      </c>
      <c r="IT33" t="e">
        <f>IF(#REF!,"AAAAAGzru/0=",0)</f>
        <v>#REF!</v>
      </c>
      <c r="IU33" t="e">
        <f>AND(#REF!,"AAAAAGzru/4=")</f>
        <v>#REF!</v>
      </c>
      <c r="IV33" t="e">
        <f>AND(#REF!,"AAAAAGzru/8=")</f>
        <v>#REF!</v>
      </c>
    </row>
    <row r="34" spans="1:256" x14ac:dyDescent="0.25">
      <c r="A34" t="e">
        <f>AND(#REF!,"AAAAAG99/wA=")</f>
        <v>#REF!</v>
      </c>
      <c r="B34" t="e">
        <f>AND(#REF!,"AAAAAG99/wE=")</f>
        <v>#REF!</v>
      </c>
      <c r="C34" t="e">
        <f>AND(#REF!,"AAAAAG99/wI=")</f>
        <v>#REF!</v>
      </c>
      <c r="D34" t="e">
        <f>AND(#REF!,"AAAAAG99/wM=")</f>
        <v>#REF!</v>
      </c>
      <c r="E34" t="e">
        <f>AND(#REF!,"AAAAAG99/wQ=")</f>
        <v>#REF!</v>
      </c>
      <c r="F34" t="e">
        <f>AND(#REF!,"AAAAAG99/wU=")</f>
        <v>#REF!</v>
      </c>
      <c r="G34" t="e">
        <f>AND(#REF!,"AAAAAG99/wY=")</f>
        <v>#REF!</v>
      </c>
      <c r="H34" t="e">
        <f>AND(#REF!,"AAAAAG99/wc=")</f>
        <v>#REF!</v>
      </c>
      <c r="I34" t="e">
        <f>AND(#REF!,"AAAAAG99/wg=")</f>
        <v>#REF!</v>
      </c>
      <c r="J34" t="e">
        <f>AND(#REF!,"AAAAAG99/wk=")</f>
        <v>#REF!</v>
      </c>
      <c r="K34" t="e">
        <f>AND(#REF!,"AAAAAG99/wo=")</f>
        <v>#REF!</v>
      </c>
      <c r="L34" t="e">
        <f>AND(#REF!,"AAAAAG99/ws=")</f>
        <v>#REF!</v>
      </c>
      <c r="M34" t="e">
        <f>AND(#REF!,"AAAAAG99/ww=")</f>
        <v>#REF!</v>
      </c>
      <c r="N34" t="e">
        <f>AND(#REF!,"AAAAAG99/w0=")</f>
        <v>#REF!</v>
      </c>
      <c r="O34" t="e">
        <f>AND(#REF!,"AAAAAG99/w4=")</f>
        <v>#REF!</v>
      </c>
      <c r="P34" t="e">
        <f>AND(#REF!,"AAAAAG99/w8=")</f>
        <v>#REF!</v>
      </c>
      <c r="Q34" t="e">
        <f>AND(#REF!,"AAAAAG99/xA=")</f>
        <v>#REF!</v>
      </c>
      <c r="R34" t="e">
        <f>AND(#REF!,"AAAAAG99/xE=")</f>
        <v>#REF!</v>
      </c>
      <c r="S34" t="e">
        <f>AND(#REF!,"AAAAAG99/xI=")</f>
        <v>#REF!</v>
      </c>
      <c r="T34" t="e">
        <f>AND(#REF!,"AAAAAG99/xM=")</f>
        <v>#REF!</v>
      </c>
      <c r="U34" t="e">
        <f>AND(#REF!,"AAAAAG99/xQ=")</f>
        <v>#REF!</v>
      </c>
      <c r="V34" t="e">
        <f>IF(#REF!,"AAAAAG99/xU=",0)</f>
        <v>#REF!</v>
      </c>
      <c r="W34" t="e">
        <f>AND(#REF!,"AAAAAG99/xY=")</f>
        <v>#REF!</v>
      </c>
      <c r="X34" t="e">
        <f>AND(#REF!,"AAAAAG99/xc=")</f>
        <v>#REF!</v>
      </c>
      <c r="Y34" t="e">
        <f>AND(#REF!,"AAAAAG99/xg=")</f>
        <v>#REF!</v>
      </c>
      <c r="Z34" t="e">
        <f>AND(#REF!,"AAAAAG99/xk=")</f>
        <v>#REF!</v>
      </c>
      <c r="AA34" t="e">
        <f>AND(#REF!,"AAAAAG99/xo=")</f>
        <v>#REF!</v>
      </c>
      <c r="AB34" t="e">
        <f>AND(#REF!,"AAAAAG99/xs=")</f>
        <v>#REF!</v>
      </c>
      <c r="AC34" t="e">
        <f>AND(#REF!,"AAAAAG99/xw=")</f>
        <v>#REF!</v>
      </c>
      <c r="AD34" t="e">
        <f>AND(#REF!,"AAAAAG99/x0=")</f>
        <v>#REF!</v>
      </c>
      <c r="AE34" t="e">
        <f>AND(#REF!,"AAAAAG99/x4=")</f>
        <v>#REF!</v>
      </c>
      <c r="AF34" t="e">
        <f>AND(#REF!,"AAAAAG99/x8=")</f>
        <v>#REF!</v>
      </c>
      <c r="AG34" t="e">
        <f>AND(#REF!,"AAAAAG99/yA=")</f>
        <v>#REF!</v>
      </c>
      <c r="AH34" t="e">
        <f>AND(#REF!,"AAAAAG99/yE=")</f>
        <v>#REF!</v>
      </c>
      <c r="AI34" t="e">
        <f>AND(#REF!,"AAAAAG99/yI=")</f>
        <v>#REF!</v>
      </c>
      <c r="AJ34" t="e">
        <f>AND(#REF!,"AAAAAG99/yM=")</f>
        <v>#REF!</v>
      </c>
      <c r="AK34" t="e">
        <f>AND(#REF!,"AAAAAG99/yQ=")</f>
        <v>#REF!</v>
      </c>
      <c r="AL34" t="e">
        <f>AND(#REF!,"AAAAAG99/yU=")</f>
        <v>#REF!</v>
      </c>
      <c r="AM34" t="e">
        <f>AND(#REF!,"AAAAAG99/yY=")</f>
        <v>#REF!</v>
      </c>
      <c r="AN34" t="e">
        <f>AND(#REF!,"AAAAAG99/yc=")</f>
        <v>#REF!</v>
      </c>
      <c r="AO34" t="e">
        <f>AND(#REF!,"AAAAAG99/yg=")</f>
        <v>#REF!</v>
      </c>
      <c r="AP34" t="e">
        <f>AND(#REF!,"AAAAAG99/yk=")</f>
        <v>#REF!</v>
      </c>
      <c r="AQ34" t="e">
        <f>AND(#REF!,"AAAAAG99/yo=")</f>
        <v>#REF!</v>
      </c>
      <c r="AR34" t="e">
        <f>AND(#REF!,"AAAAAG99/ys=")</f>
        <v>#REF!</v>
      </c>
      <c r="AS34" t="e">
        <f>AND(#REF!,"AAAAAG99/yw=")</f>
        <v>#REF!</v>
      </c>
      <c r="AT34" t="e">
        <f>IF(#REF!,"AAAAAG99/y0=",0)</f>
        <v>#REF!</v>
      </c>
      <c r="AU34" t="e">
        <f>AND(#REF!,"AAAAAG99/y4=")</f>
        <v>#REF!</v>
      </c>
      <c r="AV34" t="e">
        <f>AND(#REF!,"AAAAAG99/y8=")</f>
        <v>#REF!</v>
      </c>
      <c r="AW34" t="e">
        <f>AND(#REF!,"AAAAAG99/zA=")</f>
        <v>#REF!</v>
      </c>
      <c r="AX34" t="e">
        <f>AND(#REF!,"AAAAAG99/zE=")</f>
        <v>#REF!</v>
      </c>
      <c r="AY34" t="e">
        <f>AND(#REF!,"AAAAAG99/zI=")</f>
        <v>#REF!</v>
      </c>
      <c r="AZ34" t="e">
        <f>AND(#REF!,"AAAAAG99/zM=")</f>
        <v>#REF!</v>
      </c>
      <c r="BA34" t="e">
        <f>AND(#REF!,"AAAAAG99/zQ=")</f>
        <v>#REF!</v>
      </c>
      <c r="BB34" t="e">
        <f>AND(#REF!,"AAAAAG99/zU=")</f>
        <v>#REF!</v>
      </c>
      <c r="BC34" t="e">
        <f>AND(#REF!,"AAAAAG99/zY=")</f>
        <v>#REF!</v>
      </c>
      <c r="BD34" t="e">
        <f>AND(#REF!,"AAAAAG99/zc=")</f>
        <v>#REF!</v>
      </c>
      <c r="BE34" t="e">
        <f>AND(#REF!,"AAAAAG99/zg=")</f>
        <v>#REF!</v>
      </c>
      <c r="BF34" t="e">
        <f>AND(#REF!,"AAAAAG99/zk=")</f>
        <v>#REF!</v>
      </c>
      <c r="BG34" t="e">
        <f>AND(#REF!,"AAAAAG99/zo=")</f>
        <v>#REF!</v>
      </c>
      <c r="BH34" t="e">
        <f>AND(#REF!,"AAAAAG99/zs=")</f>
        <v>#REF!</v>
      </c>
      <c r="BI34" t="e">
        <f>AND(#REF!,"AAAAAG99/zw=")</f>
        <v>#REF!</v>
      </c>
      <c r="BJ34" t="e">
        <f>AND(#REF!,"AAAAAG99/z0=")</f>
        <v>#REF!</v>
      </c>
      <c r="BK34" t="e">
        <f>AND(#REF!,"AAAAAG99/z4=")</f>
        <v>#REF!</v>
      </c>
      <c r="BL34" t="e">
        <f>AND(#REF!,"AAAAAG99/z8=")</f>
        <v>#REF!</v>
      </c>
      <c r="BM34" t="e">
        <f>AND(#REF!,"AAAAAG99/0A=")</f>
        <v>#REF!</v>
      </c>
      <c r="BN34" t="e">
        <f>AND(#REF!,"AAAAAG99/0E=")</f>
        <v>#REF!</v>
      </c>
      <c r="BO34" t="e">
        <f>AND(#REF!,"AAAAAG99/0I=")</f>
        <v>#REF!</v>
      </c>
      <c r="BP34" t="e">
        <f>AND(#REF!,"AAAAAG99/0M=")</f>
        <v>#REF!</v>
      </c>
      <c r="BQ34" t="e">
        <f>AND(#REF!,"AAAAAG99/0Q=")</f>
        <v>#REF!</v>
      </c>
      <c r="BR34" t="e">
        <f>IF(#REF!,"AAAAAG99/0U=",0)</f>
        <v>#REF!</v>
      </c>
      <c r="BS34" t="e">
        <f>AND(#REF!,"AAAAAG99/0Y=")</f>
        <v>#REF!</v>
      </c>
      <c r="BT34" t="e">
        <f>AND(#REF!,"AAAAAG99/0c=")</f>
        <v>#REF!</v>
      </c>
      <c r="BU34" t="e">
        <f>AND(#REF!,"AAAAAG99/0g=")</f>
        <v>#REF!</v>
      </c>
      <c r="BV34" t="e">
        <f>AND(#REF!,"AAAAAG99/0k=")</f>
        <v>#REF!</v>
      </c>
      <c r="BW34" t="e">
        <f>AND(#REF!,"AAAAAG99/0o=")</f>
        <v>#REF!</v>
      </c>
      <c r="BX34" t="e">
        <f>AND(#REF!,"AAAAAG99/0s=")</f>
        <v>#REF!</v>
      </c>
      <c r="BY34" t="e">
        <f>AND(#REF!,"AAAAAG99/0w=")</f>
        <v>#REF!</v>
      </c>
      <c r="BZ34" t="e">
        <f>AND(#REF!,"AAAAAG99/00=")</f>
        <v>#REF!</v>
      </c>
      <c r="CA34" t="e">
        <f>AND(#REF!,"AAAAAG99/04=")</f>
        <v>#REF!</v>
      </c>
      <c r="CB34" t="e">
        <f>AND(#REF!,"AAAAAG99/08=")</f>
        <v>#REF!</v>
      </c>
      <c r="CC34" t="e">
        <f>AND(#REF!,"AAAAAG99/1A=")</f>
        <v>#REF!</v>
      </c>
      <c r="CD34" t="e">
        <f>AND(#REF!,"AAAAAG99/1E=")</f>
        <v>#REF!</v>
      </c>
      <c r="CE34" t="e">
        <f>AND(#REF!,"AAAAAG99/1I=")</f>
        <v>#REF!</v>
      </c>
      <c r="CF34" t="e">
        <f>AND(#REF!,"AAAAAG99/1M=")</f>
        <v>#REF!</v>
      </c>
      <c r="CG34" t="e">
        <f>AND(#REF!,"AAAAAG99/1Q=")</f>
        <v>#REF!</v>
      </c>
      <c r="CH34" t="e">
        <f>AND(#REF!,"AAAAAG99/1U=")</f>
        <v>#REF!</v>
      </c>
      <c r="CI34" t="e">
        <f>AND(#REF!,"AAAAAG99/1Y=")</f>
        <v>#REF!</v>
      </c>
      <c r="CJ34" t="e">
        <f>AND(#REF!,"AAAAAG99/1c=")</f>
        <v>#REF!</v>
      </c>
      <c r="CK34" t="e">
        <f>AND(#REF!,"AAAAAG99/1g=")</f>
        <v>#REF!</v>
      </c>
      <c r="CL34" t="e">
        <f>AND(#REF!,"AAAAAG99/1k=")</f>
        <v>#REF!</v>
      </c>
      <c r="CM34" t="e">
        <f>AND(#REF!,"AAAAAG99/1o=")</f>
        <v>#REF!</v>
      </c>
      <c r="CN34" t="e">
        <f>AND(#REF!,"AAAAAG99/1s=")</f>
        <v>#REF!</v>
      </c>
      <c r="CO34" t="e">
        <f>AND(#REF!,"AAAAAG99/1w=")</f>
        <v>#REF!</v>
      </c>
      <c r="CP34" t="e">
        <f>IF(#REF!,"AAAAAG99/10=",0)</f>
        <v>#REF!</v>
      </c>
      <c r="CQ34" t="e">
        <f>AND(#REF!,"AAAAAG99/14=")</f>
        <v>#REF!</v>
      </c>
      <c r="CR34" t="e">
        <f>AND(#REF!,"AAAAAG99/18=")</f>
        <v>#REF!</v>
      </c>
      <c r="CS34" t="e">
        <f>AND(#REF!,"AAAAAG99/2A=")</f>
        <v>#REF!</v>
      </c>
      <c r="CT34" t="e">
        <f>AND(#REF!,"AAAAAG99/2E=")</f>
        <v>#REF!</v>
      </c>
      <c r="CU34" t="e">
        <f>AND(#REF!,"AAAAAG99/2I=")</f>
        <v>#REF!</v>
      </c>
      <c r="CV34" t="e">
        <f>AND(#REF!,"AAAAAG99/2M=")</f>
        <v>#REF!</v>
      </c>
      <c r="CW34" t="e">
        <f>AND(#REF!,"AAAAAG99/2Q=")</f>
        <v>#REF!</v>
      </c>
      <c r="CX34" t="e">
        <f>AND(#REF!,"AAAAAG99/2U=")</f>
        <v>#REF!</v>
      </c>
      <c r="CY34" t="e">
        <f>AND(#REF!,"AAAAAG99/2Y=")</f>
        <v>#REF!</v>
      </c>
      <c r="CZ34" t="e">
        <f>AND(#REF!,"AAAAAG99/2c=")</f>
        <v>#REF!</v>
      </c>
      <c r="DA34" t="e">
        <f>AND(#REF!,"AAAAAG99/2g=")</f>
        <v>#REF!</v>
      </c>
      <c r="DB34" t="e">
        <f>AND(#REF!,"AAAAAG99/2k=")</f>
        <v>#REF!</v>
      </c>
      <c r="DC34" t="e">
        <f>AND(#REF!,"AAAAAG99/2o=")</f>
        <v>#REF!</v>
      </c>
      <c r="DD34" t="e">
        <f>AND(#REF!,"AAAAAG99/2s=")</f>
        <v>#REF!</v>
      </c>
      <c r="DE34" t="e">
        <f>AND(#REF!,"AAAAAG99/2w=")</f>
        <v>#REF!</v>
      </c>
      <c r="DF34" t="e">
        <f>AND(#REF!,"AAAAAG99/20=")</f>
        <v>#REF!</v>
      </c>
      <c r="DG34" t="e">
        <f>AND(#REF!,"AAAAAG99/24=")</f>
        <v>#REF!</v>
      </c>
      <c r="DH34" t="e">
        <f>AND(#REF!,"AAAAAG99/28=")</f>
        <v>#REF!</v>
      </c>
      <c r="DI34" t="e">
        <f>AND(#REF!,"AAAAAG99/3A=")</f>
        <v>#REF!</v>
      </c>
      <c r="DJ34" t="e">
        <f>AND(#REF!,"AAAAAG99/3E=")</f>
        <v>#REF!</v>
      </c>
      <c r="DK34" t="e">
        <f>AND(#REF!,"AAAAAG99/3I=")</f>
        <v>#REF!</v>
      </c>
      <c r="DL34" t="e">
        <f>AND(#REF!,"AAAAAG99/3M=")</f>
        <v>#REF!</v>
      </c>
      <c r="DM34" t="e">
        <f>AND(#REF!,"AAAAAG99/3Q=")</f>
        <v>#REF!</v>
      </c>
      <c r="DN34" t="e">
        <f>IF(#REF!,"AAAAAG99/3U=",0)</f>
        <v>#REF!</v>
      </c>
      <c r="DO34" t="e">
        <f>AND(#REF!,"AAAAAG99/3Y=")</f>
        <v>#REF!</v>
      </c>
      <c r="DP34" t="e">
        <f>AND(#REF!,"AAAAAG99/3c=")</f>
        <v>#REF!</v>
      </c>
      <c r="DQ34" t="e">
        <f>AND(#REF!,"AAAAAG99/3g=")</f>
        <v>#REF!</v>
      </c>
      <c r="DR34" t="e">
        <f>AND(#REF!,"AAAAAG99/3k=")</f>
        <v>#REF!</v>
      </c>
      <c r="DS34" t="e">
        <f>AND(#REF!,"AAAAAG99/3o=")</f>
        <v>#REF!</v>
      </c>
      <c r="DT34" t="e">
        <f>AND(#REF!,"AAAAAG99/3s=")</f>
        <v>#REF!</v>
      </c>
      <c r="DU34" t="e">
        <f>AND(#REF!,"AAAAAG99/3w=")</f>
        <v>#REF!</v>
      </c>
      <c r="DV34" t="e">
        <f>AND(#REF!,"AAAAAG99/30=")</f>
        <v>#REF!</v>
      </c>
      <c r="DW34" t="e">
        <f>AND(#REF!,"AAAAAG99/34=")</f>
        <v>#REF!</v>
      </c>
      <c r="DX34" t="e">
        <f>AND(#REF!,"AAAAAG99/38=")</f>
        <v>#REF!</v>
      </c>
      <c r="DY34" t="e">
        <f>AND(#REF!,"AAAAAG99/4A=")</f>
        <v>#REF!</v>
      </c>
      <c r="DZ34" t="e">
        <f>AND(#REF!,"AAAAAG99/4E=")</f>
        <v>#REF!</v>
      </c>
      <c r="EA34" t="e">
        <f>AND(#REF!,"AAAAAG99/4I=")</f>
        <v>#REF!</v>
      </c>
      <c r="EB34" t="e">
        <f>AND(#REF!,"AAAAAG99/4M=")</f>
        <v>#REF!</v>
      </c>
      <c r="EC34" t="e">
        <f>AND(#REF!,"AAAAAG99/4Q=")</f>
        <v>#REF!</v>
      </c>
      <c r="ED34" t="e">
        <f>AND(#REF!,"AAAAAG99/4U=")</f>
        <v>#REF!</v>
      </c>
      <c r="EE34" t="e">
        <f>AND(#REF!,"AAAAAG99/4Y=")</f>
        <v>#REF!</v>
      </c>
      <c r="EF34" t="e">
        <f>AND(#REF!,"AAAAAG99/4c=")</f>
        <v>#REF!</v>
      </c>
      <c r="EG34" t="e">
        <f>AND(#REF!,"AAAAAG99/4g=")</f>
        <v>#REF!</v>
      </c>
      <c r="EH34" t="e">
        <f>AND(#REF!,"AAAAAG99/4k=")</f>
        <v>#REF!</v>
      </c>
      <c r="EI34" t="e">
        <f>AND(#REF!,"AAAAAG99/4o=")</f>
        <v>#REF!</v>
      </c>
      <c r="EJ34" t="e">
        <f>AND(#REF!,"AAAAAG99/4s=")</f>
        <v>#REF!</v>
      </c>
      <c r="EK34" t="e">
        <f>AND(#REF!,"AAAAAG99/4w=")</f>
        <v>#REF!</v>
      </c>
      <c r="EL34" t="e">
        <f>IF(#REF!,"AAAAAG99/40=",0)</f>
        <v>#REF!</v>
      </c>
      <c r="EM34" t="e">
        <f>AND(#REF!,"AAAAAG99/44=")</f>
        <v>#REF!</v>
      </c>
      <c r="EN34" t="e">
        <f>AND(#REF!,"AAAAAG99/48=")</f>
        <v>#REF!</v>
      </c>
      <c r="EO34" t="e">
        <f>AND(#REF!,"AAAAAG99/5A=")</f>
        <v>#REF!</v>
      </c>
      <c r="EP34" t="e">
        <f>AND(#REF!,"AAAAAG99/5E=")</f>
        <v>#REF!</v>
      </c>
      <c r="EQ34" t="e">
        <f>AND(#REF!,"AAAAAG99/5I=")</f>
        <v>#REF!</v>
      </c>
      <c r="ER34" t="e">
        <f>AND(#REF!,"AAAAAG99/5M=")</f>
        <v>#REF!</v>
      </c>
      <c r="ES34" t="e">
        <f>AND(#REF!,"AAAAAG99/5Q=")</f>
        <v>#REF!</v>
      </c>
      <c r="ET34" t="e">
        <f>AND(#REF!,"AAAAAG99/5U=")</f>
        <v>#REF!</v>
      </c>
      <c r="EU34" t="e">
        <f>AND(#REF!,"AAAAAG99/5Y=")</f>
        <v>#REF!</v>
      </c>
      <c r="EV34" t="e">
        <f>AND(#REF!,"AAAAAG99/5c=")</f>
        <v>#REF!</v>
      </c>
      <c r="EW34" t="e">
        <f>AND(#REF!,"AAAAAG99/5g=")</f>
        <v>#REF!</v>
      </c>
      <c r="EX34" t="e">
        <f>AND(#REF!,"AAAAAG99/5k=")</f>
        <v>#REF!</v>
      </c>
      <c r="EY34" t="e">
        <f>AND(#REF!,"AAAAAG99/5o=")</f>
        <v>#REF!</v>
      </c>
      <c r="EZ34" t="e">
        <f>AND(#REF!,"AAAAAG99/5s=")</f>
        <v>#REF!</v>
      </c>
      <c r="FA34" t="e">
        <f>AND(#REF!,"AAAAAG99/5w=")</f>
        <v>#REF!</v>
      </c>
      <c r="FB34" t="e">
        <f>AND(#REF!,"AAAAAG99/50=")</f>
        <v>#REF!</v>
      </c>
      <c r="FC34" t="e">
        <f>AND(#REF!,"AAAAAG99/54=")</f>
        <v>#REF!</v>
      </c>
      <c r="FD34" t="e">
        <f>AND(#REF!,"AAAAAG99/58=")</f>
        <v>#REF!</v>
      </c>
      <c r="FE34" t="e">
        <f>AND(#REF!,"AAAAAG99/6A=")</f>
        <v>#REF!</v>
      </c>
      <c r="FF34" t="e">
        <f>AND(#REF!,"AAAAAG99/6E=")</f>
        <v>#REF!</v>
      </c>
      <c r="FG34" t="e">
        <f>AND(#REF!,"AAAAAG99/6I=")</f>
        <v>#REF!</v>
      </c>
      <c r="FH34" t="e">
        <f>AND(#REF!,"AAAAAG99/6M=")</f>
        <v>#REF!</v>
      </c>
      <c r="FI34" t="e">
        <f>AND(#REF!,"AAAAAG99/6Q=")</f>
        <v>#REF!</v>
      </c>
      <c r="FJ34" t="e">
        <f>IF(#REF!,"AAAAAG99/6U=",0)</f>
        <v>#REF!</v>
      </c>
      <c r="FK34" t="e">
        <f>AND(#REF!,"AAAAAG99/6Y=")</f>
        <v>#REF!</v>
      </c>
      <c r="FL34" t="e">
        <f>AND(#REF!,"AAAAAG99/6c=")</f>
        <v>#REF!</v>
      </c>
      <c r="FM34" t="e">
        <f>AND(#REF!,"AAAAAG99/6g=")</f>
        <v>#REF!</v>
      </c>
      <c r="FN34" t="e">
        <f>AND(#REF!,"AAAAAG99/6k=")</f>
        <v>#REF!</v>
      </c>
      <c r="FO34" t="e">
        <f>AND(#REF!,"AAAAAG99/6o=")</f>
        <v>#REF!</v>
      </c>
      <c r="FP34" t="e">
        <f>AND(#REF!,"AAAAAG99/6s=")</f>
        <v>#REF!</v>
      </c>
      <c r="FQ34" t="e">
        <f>AND(#REF!,"AAAAAG99/6w=")</f>
        <v>#REF!</v>
      </c>
      <c r="FR34" t="e">
        <f>AND(#REF!,"AAAAAG99/60=")</f>
        <v>#REF!</v>
      </c>
      <c r="FS34" t="e">
        <f>AND(#REF!,"AAAAAG99/64=")</f>
        <v>#REF!</v>
      </c>
      <c r="FT34" t="e">
        <f>AND(#REF!,"AAAAAG99/68=")</f>
        <v>#REF!</v>
      </c>
      <c r="FU34" t="e">
        <f>AND(#REF!,"AAAAAG99/7A=")</f>
        <v>#REF!</v>
      </c>
      <c r="FV34" t="e">
        <f>AND(#REF!,"AAAAAG99/7E=")</f>
        <v>#REF!</v>
      </c>
      <c r="FW34" t="e">
        <f>AND(#REF!,"AAAAAG99/7I=")</f>
        <v>#REF!</v>
      </c>
      <c r="FX34" t="e">
        <f>AND(#REF!,"AAAAAG99/7M=")</f>
        <v>#REF!</v>
      </c>
      <c r="FY34" t="e">
        <f>AND(#REF!,"AAAAAG99/7Q=")</f>
        <v>#REF!</v>
      </c>
      <c r="FZ34" t="e">
        <f>AND(#REF!,"AAAAAG99/7U=")</f>
        <v>#REF!</v>
      </c>
      <c r="GA34" t="e">
        <f>AND(#REF!,"AAAAAG99/7Y=")</f>
        <v>#REF!</v>
      </c>
      <c r="GB34" t="e">
        <f>AND(#REF!,"AAAAAG99/7c=")</f>
        <v>#REF!</v>
      </c>
      <c r="GC34" t="e">
        <f>AND(#REF!,"AAAAAG99/7g=")</f>
        <v>#REF!</v>
      </c>
      <c r="GD34" t="e">
        <f>AND(#REF!,"AAAAAG99/7k=")</f>
        <v>#REF!</v>
      </c>
      <c r="GE34" t="e">
        <f>AND(#REF!,"AAAAAG99/7o=")</f>
        <v>#REF!</v>
      </c>
      <c r="GF34" t="e">
        <f>AND(#REF!,"AAAAAG99/7s=")</f>
        <v>#REF!</v>
      </c>
      <c r="GG34" t="e">
        <f>AND(#REF!,"AAAAAG99/7w=")</f>
        <v>#REF!</v>
      </c>
      <c r="GH34" t="e">
        <f>IF(#REF!,"AAAAAG99/70=",0)</f>
        <v>#REF!</v>
      </c>
      <c r="GI34" t="e">
        <f>AND(#REF!,"AAAAAG99/74=")</f>
        <v>#REF!</v>
      </c>
      <c r="GJ34" t="e">
        <f>AND(#REF!,"AAAAAG99/78=")</f>
        <v>#REF!</v>
      </c>
      <c r="GK34" t="e">
        <f>AND(#REF!,"AAAAAG99/8A=")</f>
        <v>#REF!</v>
      </c>
      <c r="GL34" t="e">
        <f>AND(#REF!,"AAAAAG99/8E=")</f>
        <v>#REF!</v>
      </c>
      <c r="GM34" t="e">
        <f>AND(#REF!,"AAAAAG99/8I=")</f>
        <v>#REF!</v>
      </c>
      <c r="GN34" t="e">
        <f>AND(#REF!,"AAAAAG99/8M=")</f>
        <v>#REF!</v>
      </c>
      <c r="GO34" t="e">
        <f>AND(#REF!,"AAAAAG99/8Q=")</f>
        <v>#REF!</v>
      </c>
      <c r="GP34" t="e">
        <f>AND(#REF!,"AAAAAG99/8U=")</f>
        <v>#REF!</v>
      </c>
      <c r="GQ34" t="e">
        <f>AND(#REF!,"AAAAAG99/8Y=")</f>
        <v>#REF!</v>
      </c>
      <c r="GR34" t="e">
        <f>AND(#REF!,"AAAAAG99/8c=")</f>
        <v>#REF!</v>
      </c>
      <c r="GS34" t="e">
        <f>AND(#REF!,"AAAAAG99/8g=")</f>
        <v>#REF!</v>
      </c>
      <c r="GT34" t="e">
        <f>AND(#REF!,"AAAAAG99/8k=")</f>
        <v>#REF!</v>
      </c>
      <c r="GU34" t="e">
        <f>AND(#REF!,"AAAAAG99/8o=")</f>
        <v>#REF!</v>
      </c>
      <c r="GV34" t="e">
        <f>AND(#REF!,"AAAAAG99/8s=")</f>
        <v>#REF!</v>
      </c>
      <c r="GW34" t="e">
        <f>AND(#REF!,"AAAAAG99/8w=")</f>
        <v>#REF!</v>
      </c>
      <c r="GX34" t="e">
        <f>AND(#REF!,"AAAAAG99/80=")</f>
        <v>#REF!</v>
      </c>
      <c r="GY34" t="e">
        <f>AND(#REF!,"AAAAAG99/84=")</f>
        <v>#REF!</v>
      </c>
      <c r="GZ34" t="e">
        <f>AND(#REF!,"AAAAAG99/88=")</f>
        <v>#REF!</v>
      </c>
      <c r="HA34" t="e">
        <f>AND(#REF!,"AAAAAG99/9A=")</f>
        <v>#REF!</v>
      </c>
      <c r="HB34" t="e">
        <f>AND(#REF!,"AAAAAG99/9E=")</f>
        <v>#REF!</v>
      </c>
      <c r="HC34" t="e">
        <f>AND(#REF!,"AAAAAG99/9I=")</f>
        <v>#REF!</v>
      </c>
      <c r="HD34" t="e">
        <f>AND(#REF!,"AAAAAG99/9M=")</f>
        <v>#REF!</v>
      </c>
      <c r="HE34" t="e">
        <f>AND(#REF!,"AAAAAG99/9Q=")</f>
        <v>#REF!</v>
      </c>
      <c r="HF34" t="e">
        <f>IF(#REF!,"AAAAAG99/9U=",0)</f>
        <v>#REF!</v>
      </c>
      <c r="HG34" t="e">
        <f>AND(#REF!,"AAAAAG99/9Y=")</f>
        <v>#REF!</v>
      </c>
      <c r="HH34" t="e">
        <f>AND(#REF!,"AAAAAG99/9c=")</f>
        <v>#REF!</v>
      </c>
      <c r="HI34" t="e">
        <f>AND(#REF!,"AAAAAG99/9g=")</f>
        <v>#REF!</v>
      </c>
      <c r="HJ34" t="e">
        <f>AND(#REF!,"AAAAAG99/9k=")</f>
        <v>#REF!</v>
      </c>
      <c r="HK34" t="e">
        <f>AND(#REF!,"AAAAAG99/9o=")</f>
        <v>#REF!</v>
      </c>
      <c r="HL34" t="e">
        <f>AND(#REF!,"AAAAAG99/9s=")</f>
        <v>#REF!</v>
      </c>
      <c r="HM34" t="e">
        <f>AND(#REF!,"AAAAAG99/9w=")</f>
        <v>#REF!</v>
      </c>
      <c r="HN34" t="e">
        <f>AND(#REF!,"AAAAAG99/90=")</f>
        <v>#REF!</v>
      </c>
      <c r="HO34" t="e">
        <f>AND(#REF!,"AAAAAG99/94=")</f>
        <v>#REF!</v>
      </c>
      <c r="HP34" t="e">
        <f>AND(#REF!,"AAAAAG99/98=")</f>
        <v>#REF!</v>
      </c>
      <c r="HQ34" t="e">
        <f>AND(#REF!,"AAAAAG99/+A=")</f>
        <v>#REF!</v>
      </c>
      <c r="HR34" t="e">
        <f>AND(#REF!,"AAAAAG99/+E=")</f>
        <v>#REF!</v>
      </c>
      <c r="HS34" t="e">
        <f>AND(#REF!,"AAAAAG99/+I=")</f>
        <v>#REF!</v>
      </c>
      <c r="HT34" t="e">
        <f>AND(#REF!,"AAAAAG99/+M=")</f>
        <v>#REF!</v>
      </c>
      <c r="HU34" t="e">
        <f>AND(#REF!,"AAAAAG99/+Q=")</f>
        <v>#REF!</v>
      </c>
      <c r="HV34" t="e">
        <f>AND(#REF!,"AAAAAG99/+U=")</f>
        <v>#REF!</v>
      </c>
      <c r="HW34" t="e">
        <f>AND(#REF!,"AAAAAG99/+Y=")</f>
        <v>#REF!</v>
      </c>
      <c r="HX34" t="e">
        <f>AND(#REF!,"AAAAAG99/+c=")</f>
        <v>#REF!</v>
      </c>
      <c r="HY34" t="e">
        <f>AND(#REF!,"AAAAAG99/+g=")</f>
        <v>#REF!</v>
      </c>
      <c r="HZ34" t="e">
        <f>AND(#REF!,"AAAAAG99/+k=")</f>
        <v>#REF!</v>
      </c>
      <c r="IA34" t="e">
        <f>AND(#REF!,"AAAAAG99/+o=")</f>
        <v>#REF!</v>
      </c>
      <c r="IB34" t="e">
        <f>AND(#REF!,"AAAAAG99/+s=")</f>
        <v>#REF!</v>
      </c>
      <c r="IC34" t="e">
        <f>AND(#REF!,"AAAAAG99/+w=")</f>
        <v>#REF!</v>
      </c>
      <c r="ID34" t="e">
        <f>IF(#REF!,"AAAAAG99/+0=",0)</f>
        <v>#REF!</v>
      </c>
      <c r="IE34" t="e">
        <f>AND(#REF!,"AAAAAG99/+4=")</f>
        <v>#REF!</v>
      </c>
      <c r="IF34" t="e">
        <f>AND(#REF!,"AAAAAG99/+8=")</f>
        <v>#REF!</v>
      </c>
      <c r="IG34" t="e">
        <f>AND(#REF!,"AAAAAG99//A=")</f>
        <v>#REF!</v>
      </c>
      <c r="IH34" t="e">
        <f>AND(#REF!,"AAAAAG99//E=")</f>
        <v>#REF!</v>
      </c>
      <c r="II34" t="e">
        <f>AND(#REF!,"AAAAAG99//I=")</f>
        <v>#REF!</v>
      </c>
      <c r="IJ34" t="e">
        <f>AND(#REF!,"AAAAAG99//M=")</f>
        <v>#REF!</v>
      </c>
      <c r="IK34" t="e">
        <f>AND(#REF!,"AAAAAG99//Q=")</f>
        <v>#REF!</v>
      </c>
      <c r="IL34" t="e">
        <f>AND(#REF!,"AAAAAG99//U=")</f>
        <v>#REF!</v>
      </c>
      <c r="IM34" t="e">
        <f>AND(#REF!,"AAAAAG99//Y=")</f>
        <v>#REF!</v>
      </c>
      <c r="IN34" t="e">
        <f>AND(#REF!,"AAAAAG99//c=")</f>
        <v>#REF!</v>
      </c>
      <c r="IO34" t="e">
        <f>AND(#REF!,"AAAAAG99//g=")</f>
        <v>#REF!</v>
      </c>
      <c r="IP34" t="e">
        <f>AND(#REF!,"AAAAAG99//k=")</f>
        <v>#REF!</v>
      </c>
      <c r="IQ34" t="e">
        <f>AND(#REF!,"AAAAAG99//o=")</f>
        <v>#REF!</v>
      </c>
      <c r="IR34" t="e">
        <f>AND(#REF!,"AAAAAG99//s=")</f>
        <v>#REF!</v>
      </c>
      <c r="IS34" t="e">
        <f>AND(#REF!,"AAAAAG99//w=")</f>
        <v>#REF!</v>
      </c>
      <c r="IT34" t="e">
        <f>AND(#REF!,"AAAAAG99//0=")</f>
        <v>#REF!</v>
      </c>
      <c r="IU34" t="e">
        <f>AND(#REF!,"AAAAAG99//4=")</f>
        <v>#REF!</v>
      </c>
      <c r="IV34" t="e">
        <f>AND(#REF!,"AAAAAG99//8=")</f>
        <v>#REF!</v>
      </c>
    </row>
    <row r="35" spans="1:256" x14ac:dyDescent="0.25">
      <c r="A35" t="e">
        <f>AND(#REF!,"AAAAAHqf7wA=")</f>
        <v>#REF!</v>
      </c>
      <c r="B35" t="e">
        <f>AND(#REF!,"AAAAAHqf7wE=")</f>
        <v>#REF!</v>
      </c>
      <c r="C35" t="e">
        <f>AND(#REF!,"AAAAAHqf7wI=")</f>
        <v>#REF!</v>
      </c>
      <c r="D35" t="e">
        <f>AND(#REF!,"AAAAAHqf7wM=")</f>
        <v>#REF!</v>
      </c>
      <c r="E35" t="e">
        <f>AND(#REF!,"AAAAAHqf7wQ=")</f>
        <v>#REF!</v>
      </c>
      <c r="F35" t="e">
        <f>IF(#REF!,"AAAAAHqf7wU=",0)</f>
        <v>#REF!</v>
      </c>
      <c r="G35" t="e">
        <f>AND(#REF!,"AAAAAHqf7wY=")</f>
        <v>#REF!</v>
      </c>
      <c r="H35" t="e">
        <f>AND(#REF!,"AAAAAHqf7wc=")</f>
        <v>#REF!</v>
      </c>
      <c r="I35" t="e">
        <f>AND(#REF!,"AAAAAHqf7wg=")</f>
        <v>#REF!</v>
      </c>
      <c r="J35" t="e">
        <f>AND(#REF!,"AAAAAHqf7wk=")</f>
        <v>#REF!</v>
      </c>
      <c r="K35" t="e">
        <f>AND(#REF!,"AAAAAHqf7wo=")</f>
        <v>#REF!</v>
      </c>
      <c r="L35" t="e">
        <f>AND(#REF!,"AAAAAHqf7ws=")</f>
        <v>#REF!</v>
      </c>
      <c r="M35" t="e">
        <f>AND(#REF!,"AAAAAHqf7ww=")</f>
        <v>#REF!</v>
      </c>
      <c r="N35" t="e">
        <f>AND(#REF!,"AAAAAHqf7w0=")</f>
        <v>#REF!</v>
      </c>
      <c r="O35" t="e">
        <f>AND(#REF!,"AAAAAHqf7w4=")</f>
        <v>#REF!</v>
      </c>
      <c r="P35" t="e">
        <f>AND(#REF!,"AAAAAHqf7w8=")</f>
        <v>#REF!</v>
      </c>
      <c r="Q35" t="e">
        <f>AND(#REF!,"AAAAAHqf7xA=")</f>
        <v>#REF!</v>
      </c>
      <c r="R35" t="e">
        <f>AND(#REF!,"AAAAAHqf7xE=")</f>
        <v>#REF!</v>
      </c>
      <c r="S35" t="e">
        <f>AND(#REF!,"AAAAAHqf7xI=")</f>
        <v>#REF!</v>
      </c>
      <c r="T35" t="e">
        <f>AND(#REF!,"AAAAAHqf7xM=")</f>
        <v>#REF!</v>
      </c>
      <c r="U35" t="e">
        <f>AND(#REF!,"AAAAAHqf7xQ=")</f>
        <v>#REF!</v>
      </c>
      <c r="V35" t="e">
        <f>AND(#REF!,"AAAAAHqf7xU=")</f>
        <v>#REF!</v>
      </c>
      <c r="W35" t="e">
        <f>AND(#REF!,"AAAAAHqf7xY=")</f>
        <v>#REF!</v>
      </c>
      <c r="X35" t="e">
        <f>AND(#REF!,"AAAAAHqf7xc=")</f>
        <v>#REF!</v>
      </c>
      <c r="Y35" t="e">
        <f>AND(#REF!,"AAAAAHqf7xg=")</f>
        <v>#REF!</v>
      </c>
      <c r="Z35" t="e">
        <f>AND(#REF!,"AAAAAHqf7xk=")</f>
        <v>#REF!</v>
      </c>
      <c r="AA35" t="e">
        <f>AND(#REF!,"AAAAAHqf7xo=")</f>
        <v>#REF!</v>
      </c>
      <c r="AB35" t="e">
        <f>AND(#REF!,"AAAAAHqf7xs=")</f>
        <v>#REF!</v>
      </c>
      <c r="AC35" t="e">
        <f>AND(#REF!,"AAAAAHqf7xw=")</f>
        <v>#REF!</v>
      </c>
      <c r="AD35" t="e">
        <f>IF(#REF!,"AAAAAHqf7x0=",0)</f>
        <v>#REF!</v>
      </c>
      <c r="AE35" t="e">
        <f>AND(#REF!,"AAAAAHqf7x4=")</f>
        <v>#REF!</v>
      </c>
      <c r="AF35" t="e">
        <f>AND(#REF!,"AAAAAHqf7x8=")</f>
        <v>#REF!</v>
      </c>
      <c r="AG35" t="e">
        <f>AND(#REF!,"AAAAAHqf7yA=")</f>
        <v>#REF!</v>
      </c>
      <c r="AH35" t="e">
        <f>AND(#REF!,"AAAAAHqf7yE=")</f>
        <v>#REF!</v>
      </c>
      <c r="AI35" t="e">
        <f>AND(#REF!,"AAAAAHqf7yI=")</f>
        <v>#REF!</v>
      </c>
      <c r="AJ35" t="e">
        <f>AND(#REF!,"AAAAAHqf7yM=")</f>
        <v>#REF!</v>
      </c>
      <c r="AK35" t="e">
        <f>AND(#REF!,"AAAAAHqf7yQ=")</f>
        <v>#REF!</v>
      </c>
      <c r="AL35" t="e">
        <f>AND(#REF!,"AAAAAHqf7yU=")</f>
        <v>#REF!</v>
      </c>
      <c r="AM35" t="e">
        <f>AND(#REF!,"AAAAAHqf7yY=")</f>
        <v>#REF!</v>
      </c>
      <c r="AN35" t="e">
        <f>AND(#REF!,"AAAAAHqf7yc=")</f>
        <v>#REF!</v>
      </c>
      <c r="AO35" t="e">
        <f>AND(#REF!,"AAAAAHqf7yg=")</f>
        <v>#REF!</v>
      </c>
      <c r="AP35" t="e">
        <f>AND(#REF!,"AAAAAHqf7yk=")</f>
        <v>#REF!</v>
      </c>
      <c r="AQ35" t="e">
        <f>AND(#REF!,"AAAAAHqf7yo=")</f>
        <v>#REF!</v>
      </c>
      <c r="AR35" t="e">
        <f>AND(#REF!,"AAAAAHqf7ys=")</f>
        <v>#REF!</v>
      </c>
      <c r="AS35" t="e">
        <f>AND(#REF!,"AAAAAHqf7yw=")</f>
        <v>#REF!</v>
      </c>
      <c r="AT35" t="e">
        <f>AND(#REF!,"AAAAAHqf7y0=")</f>
        <v>#REF!</v>
      </c>
      <c r="AU35" t="e">
        <f>AND(#REF!,"AAAAAHqf7y4=")</f>
        <v>#REF!</v>
      </c>
      <c r="AV35" t="e">
        <f>AND(#REF!,"AAAAAHqf7y8=")</f>
        <v>#REF!</v>
      </c>
      <c r="AW35" t="e">
        <f>AND(#REF!,"AAAAAHqf7zA=")</f>
        <v>#REF!</v>
      </c>
      <c r="AX35" t="e">
        <f>AND(#REF!,"AAAAAHqf7zE=")</f>
        <v>#REF!</v>
      </c>
      <c r="AY35" t="e">
        <f>AND(#REF!,"AAAAAHqf7zI=")</f>
        <v>#REF!</v>
      </c>
      <c r="AZ35" t="e">
        <f>AND(#REF!,"AAAAAHqf7zM=")</f>
        <v>#REF!</v>
      </c>
      <c r="BA35" t="e">
        <f>AND(#REF!,"AAAAAHqf7zQ=")</f>
        <v>#REF!</v>
      </c>
      <c r="BB35" t="e">
        <f>IF(#REF!,"AAAAAHqf7zU=",0)</f>
        <v>#REF!</v>
      </c>
      <c r="BC35" t="e">
        <f>AND(#REF!,"AAAAAHqf7zY=")</f>
        <v>#REF!</v>
      </c>
      <c r="BD35" t="e">
        <f>AND(#REF!,"AAAAAHqf7zc=")</f>
        <v>#REF!</v>
      </c>
      <c r="BE35" t="e">
        <f>AND(#REF!,"AAAAAHqf7zg=")</f>
        <v>#REF!</v>
      </c>
      <c r="BF35" t="e">
        <f>AND(#REF!,"AAAAAHqf7zk=")</f>
        <v>#REF!</v>
      </c>
      <c r="BG35" t="e">
        <f>AND(#REF!,"AAAAAHqf7zo=")</f>
        <v>#REF!</v>
      </c>
      <c r="BH35" t="e">
        <f>AND(#REF!,"AAAAAHqf7zs=")</f>
        <v>#REF!</v>
      </c>
      <c r="BI35" t="e">
        <f>AND(#REF!,"AAAAAHqf7zw=")</f>
        <v>#REF!</v>
      </c>
      <c r="BJ35" t="e">
        <f>AND(#REF!,"AAAAAHqf7z0=")</f>
        <v>#REF!</v>
      </c>
      <c r="BK35" t="e">
        <f>AND(#REF!,"AAAAAHqf7z4=")</f>
        <v>#REF!</v>
      </c>
      <c r="BL35" t="e">
        <f>AND(#REF!,"AAAAAHqf7z8=")</f>
        <v>#REF!</v>
      </c>
      <c r="BM35" t="e">
        <f>AND(#REF!,"AAAAAHqf70A=")</f>
        <v>#REF!</v>
      </c>
      <c r="BN35" t="e">
        <f>AND(#REF!,"AAAAAHqf70E=")</f>
        <v>#REF!</v>
      </c>
      <c r="BO35" t="e">
        <f>AND(#REF!,"AAAAAHqf70I=")</f>
        <v>#REF!</v>
      </c>
      <c r="BP35" t="e">
        <f>AND(#REF!,"AAAAAHqf70M=")</f>
        <v>#REF!</v>
      </c>
      <c r="BQ35" t="e">
        <f>AND(#REF!,"AAAAAHqf70Q=")</f>
        <v>#REF!</v>
      </c>
      <c r="BR35" t="e">
        <f>AND(#REF!,"AAAAAHqf70U=")</f>
        <v>#REF!</v>
      </c>
      <c r="BS35" t="e">
        <f>AND(#REF!,"AAAAAHqf70Y=")</f>
        <v>#REF!</v>
      </c>
      <c r="BT35" t="e">
        <f>AND(#REF!,"AAAAAHqf70c=")</f>
        <v>#REF!</v>
      </c>
      <c r="BU35" t="e">
        <f>AND(#REF!,"AAAAAHqf70g=")</f>
        <v>#REF!</v>
      </c>
      <c r="BV35" t="e">
        <f>AND(#REF!,"AAAAAHqf70k=")</f>
        <v>#REF!</v>
      </c>
      <c r="BW35" t="e">
        <f>AND(#REF!,"AAAAAHqf70o=")</f>
        <v>#REF!</v>
      </c>
      <c r="BX35" t="e">
        <f>AND(#REF!,"AAAAAHqf70s=")</f>
        <v>#REF!</v>
      </c>
      <c r="BY35" t="e">
        <f>AND(#REF!,"AAAAAHqf70w=")</f>
        <v>#REF!</v>
      </c>
      <c r="BZ35" t="e">
        <f>IF(#REF!,"AAAAAHqf700=",0)</f>
        <v>#REF!</v>
      </c>
      <c r="CA35" t="e">
        <f>AND(#REF!,"AAAAAHqf704=")</f>
        <v>#REF!</v>
      </c>
      <c r="CB35" t="e">
        <f>AND(#REF!,"AAAAAHqf708=")</f>
        <v>#REF!</v>
      </c>
      <c r="CC35" t="e">
        <f>AND(#REF!,"AAAAAHqf71A=")</f>
        <v>#REF!</v>
      </c>
      <c r="CD35" t="e">
        <f>AND(#REF!,"AAAAAHqf71E=")</f>
        <v>#REF!</v>
      </c>
      <c r="CE35" t="e">
        <f>AND(#REF!,"AAAAAHqf71I=")</f>
        <v>#REF!</v>
      </c>
      <c r="CF35" t="e">
        <f>AND(#REF!,"AAAAAHqf71M=")</f>
        <v>#REF!</v>
      </c>
      <c r="CG35" t="e">
        <f>AND(#REF!,"AAAAAHqf71Q=")</f>
        <v>#REF!</v>
      </c>
      <c r="CH35" t="e">
        <f>AND(#REF!,"AAAAAHqf71U=")</f>
        <v>#REF!</v>
      </c>
      <c r="CI35" t="e">
        <f>AND(#REF!,"AAAAAHqf71Y=")</f>
        <v>#REF!</v>
      </c>
      <c r="CJ35" t="e">
        <f>AND(#REF!,"AAAAAHqf71c=")</f>
        <v>#REF!</v>
      </c>
      <c r="CK35" t="e">
        <f>AND(#REF!,"AAAAAHqf71g=")</f>
        <v>#REF!</v>
      </c>
      <c r="CL35" t="e">
        <f>AND(#REF!,"AAAAAHqf71k=")</f>
        <v>#REF!</v>
      </c>
      <c r="CM35" t="e">
        <f>AND(#REF!,"AAAAAHqf71o=")</f>
        <v>#REF!</v>
      </c>
      <c r="CN35" t="e">
        <f>AND(#REF!,"AAAAAHqf71s=")</f>
        <v>#REF!</v>
      </c>
      <c r="CO35" t="e">
        <f>AND(#REF!,"AAAAAHqf71w=")</f>
        <v>#REF!</v>
      </c>
      <c r="CP35" t="e">
        <f>AND(#REF!,"AAAAAHqf710=")</f>
        <v>#REF!</v>
      </c>
      <c r="CQ35" t="e">
        <f>AND(#REF!,"AAAAAHqf714=")</f>
        <v>#REF!</v>
      </c>
      <c r="CR35" t="e">
        <f>AND(#REF!,"AAAAAHqf718=")</f>
        <v>#REF!</v>
      </c>
      <c r="CS35" t="e">
        <f>AND(#REF!,"AAAAAHqf72A=")</f>
        <v>#REF!</v>
      </c>
      <c r="CT35" t="e">
        <f>AND(#REF!,"AAAAAHqf72E=")</f>
        <v>#REF!</v>
      </c>
      <c r="CU35" t="e">
        <f>AND(#REF!,"AAAAAHqf72I=")</f>
        <v>#REF!</v>
      </c>
      <c r="CV35" t="e">
        <f>AND(#REF!,"AAAAAHqf72M=")</f>
        <v>#REF!</v>
      </c>
      <c r="CW35" t="e">
        <f>AND(#REF!,"AAAAAHqf72Q=")</f>
        <v>#REF!</v>
      </c>
      <c r="CX35" t="e">
        <f>IF(#REF!,"AAAAAHqf72U=",0)</f>
        <v>#REF!</v>
      </c>
      <c r="CY35" t="e">
        <f>AND(#REF!,"AAAAAHqf72Y=")</f>
        <v>#REF!</v>
      </c>
      <c r="CZ35" t="e">
        <f>AND(#REF!,"AAAAAHqf72c=")</f>
        <v>#REF!</v>
      </c>
      <c r="DA35" t="e">
        <f>AND(#REF!,"AAAAAHqf72g=")</f>
        <v>#REF!</v>
      </c>
      <c r="DB35" t="e">
        <f>AND(#REF!,"AAAAAHqf72k=")</f>
        <v>#REF!</v>
      </c>
      <c r="DC35" t="e">
        <f>AND(#REF!,"AAAAAHqf72o=")</f>
        <v>#REF!</v>
      </c>
      <c r="DD35" t="e">
        <f>AND(#REF!,"AAAAAHqf72s=")</f>
        <v>#REF!</v>
      </c>
      <c r="DE35" t="e">
        <f>AND(#REF!,"AAAAAHqf72w=")</f>
        <v>#REF!</v>
      </c>
      <c r="DF35" t="e">
        <f>AND(#REF!,"AAAAAHqf720=")</f>
        <v>#REF!</v>
      </c>
      <c r="DG35" t="e">
        <f>AND(#REF!,"AAAAAHqf724=")</f>
        <v>#REF!</v>
      </c>
      <c r="DH35" t="e">
        <f>AND(#REF!,"AAAAAHqf728=")</f>
        <v>#REF!</v>
      </c>
      <c r="DI35" t="e">
        <f>AND(#REF!,"AAAAAHqf73A=")</f>
        <v>#REF!</v>
      </c>
      <c r="DJ35" t="e">
        <f>AND(#REF!,"AAAAAHqf73E=")</f>
        <v>#REF!</v>
      </c>
      <c r="DK35" t="e">
        <f>AND(#REF!,"AAAAAHqf73I=")</f>
        <v>#REF!</v>
      </c>
      <c r="DL35" t="e">
        <f>AND(#REF!,"AAAAAHqf73M=")</f>
        <v>#REF!</v>
      </c>
      <c r="DM35" t="e">
        <f>AND(#REF!,"AAAAAHqf73Q=")</f>
        <v>#REF!</v>
      </c>
      <c r="DN35" t="e">
        <f>AND(#REF!,"AAAAAHqf73U=")</f>
        <v>#REF!</v>
      </c>
      <c r="DO35" t="e">
        <f>AND(#REF!,"AAAAAHqf73Y=")</f>
        <v>#REF!</v>
      </c>
      <c r="DP35" t="e">
        <f>AND(#REF!,"AAAAAHqf73c=")</f>
        <v>#REF!</v>
      </c>
      <c r="DQ35" t="e">
        <f>AND(#REF!,"AAAAAHqf73g=")</f>
        <v>#REF!</v>
      </c>
      <c r="DR35" t="e">
        <f>AND(#REF!,"AAAAAHqf73k=")</f>
        <v>#REF!</v>
      </c>
      <c r="DS35" t="e">
        <f>AND(#REF!,"AAAAAHqf73o=")</f>
        <v>#REF!</v>
      </c>
      <c r="DT35" t="e">
        <f>AND(#REF!,"AAAAAHqf73s=")</f>
        <v>#REF!</v>
      </c>
      <c r="DU35" t="e">
        <f>AND(#REF!,"AAAAAHqf73w=")</f>
        <v>#REF!</v>
      </c>
      <c r="DV35" t="e">
        <f>IF(#REF!,"AAAAAHqf730=",0)</f>
        <v>#REF!</v>
      </c>
      <c r="DW35" t="e">
        <f>AND(#REF!,"AAAAAHqf734=")</f>
        <v>#REF!</v>
      </c>
      <c r="DX35" t="e">
        <f>AND(#REF!,"AAAAAHqf738=")</f>
        <v>#REF!</v>
      </c>
      <c r="DY35" t="e">
        <f>AND(#REF!,"AAAAAHqf74A=")</f>
        <v>#REF!</v>
      </c>
      <c r="DZ35" t="e">
        <f>AND(#REF!,"AAAAAHqf74E=")</f>
        <v>#REF!</v>
      </c>
      <c r="EA35" t="e">
        <f>AND(#REF!,"AAAAAHqf74I=")</f>
        <v>#REF!</v>
      </c>
      <c r="EB35" t="e">
        <f>AND(#REF!,"AAAAAHqf74M=")</f>
        <v>#REF!</v>
      </c>
      <c r="EC35" t="e">
        <f>AND(#REF!,"AAAAAHqf74Q=")</f>
        <v>#REF!</v>
      </c>
      <c r="ED35" t="e">
        <f>AND(#REF!,"AAAAAHqf74U=")</f>
        <v>#REF!</v>
      </c>
      <c r="EE35" t="e">
        <f>AND(#REF!,"AAAAAHqf74Y=")</f>
        <v>#REF!</v>
      </c>
      <c r="EF35" t="e">
        <f>AND(#REF!,"AAAAAHqf74c=")</f>
        <v>#REF!</v>
      </c>
      <c r="EG35" t="e">
        <f>AND(#REF!,"AAAAAHqf74g=")</f>
        <v>#REF!</v>
      </c>
      <c r="EH35" t="e">
        <f>AND(#REF!,"AAAAAHqf74k=")</f>
        <v>#REF!</v>
      </c>
      <c r="EI35" t="e">
        <f>AND(#REF!,"AAAAAHqf74o=")</f>
        <v>#REF!</v>
      </c>
      <c r="EJ35" t="e">
        <f>AND(#REF!,"AAAAAHqf74s=")</f>
        <v>#REF!</v>
      </c>
      <c r="EK35" t="e">
        <f>AND(#REF!,"AAAAAHqf74w=")</f>
        <v>#REF!</v>
      </c>
      <c r="EL35" t="e">
        <f>AND(#REF!,"AAAAAHqf740=")</f>
        <v>#REF!</v>
      </c>
      <c r="EM35" t="e">
        <f>AND(#REF!,"AAAAAHqf744=")</f>
        <v>#REF!</v>
      </c>
      <c r="EN35" t="e">
        <f>AND(#REF!,"AAAAAHqf748=")</f>
        <v>#REF!</v>
      </c>
      <c r="EO35" t="e">
        <f>AND(#REF!,"AAAAAHqf75A=")</f>
        <v>#REF!</v>
      </c>
      <c r="EP35" t="e">
        <f>AND(#REF!,"AAAAAHqf75E=")</f>
        <v>#REF!</v>
      </c>
      <c r="EQ35" t="e">
        <f>AND(#REF!,"AAAAAHqf75I=")</f>
        <v>#REF!</v>
      </c>
      <c r="ER35" t="e">
        <f>AND(#REF!,"AAAAAHqf75M=")</f>
        <v>#REF!</v>
      </c>
      <c r="ES35" t="e">
        <f>AND(#REF!,"AAAAAHqf75Q=")</f>
        <v>#REF!</v>
      </c>
      <c r="ET35" t="e">
        <f>IF(#REF!,"AAAAAHqf75U=",0)</f>
        <v>#REF!</v>
      </c>
      <c r="EU35" t="e">
        <f>AND(#REF!,"AAAAAHqf75Y=")</f>
        <v>#REF!</v>
      </c>
      <c r="EV35" t="e">
        <f>AND(#REF!,"AAAAAHqf75c=")</f>
        <v>#REF!</v>
      </c>
      <c r="EW35" t="e">
        <f>AND(#REF!,"AAAAAHqf75g=")</f>
        <v>#REF!</v>
      </c>
      <c r="EX35" t="e">
        <f>AND(#REF!,"AAAAAHqf75k=")</f>
        <v>#REF!</v>
      </c>
      <c r="EY35" t="e">
        <f>AND(#REF!,"AAAAAHqf75o=")</f>
        <v>#REF!</v>
      </c>
      <c r="EZ35" t="e">
        <f>AND(#REF!,"AAAAAHqf75s=")</f>
        <v>#REF!</v>
      </c>
      <c r="FA35" t="e">
        <f>AND(#REF!,"AAAAAHqf75w=")</f>
        <v>#REF!</v>
      </c>
      <c r="FB35" t="e">
        <f>AND(#REF!,"AAAAAHqf750=")</f>
        <v>#REF!</v>
      </c>
      <c r="FC35" t="e">
        <f>AND(#REF!,"AAAAAHqf754=")</f>
        <v>#REF!</v>
      </c>
      <c r="FD35" t="e">
        <f>AND(#REF!,"AAAAAHqf758=")</f>
        <v>#REF!</v>
      </c>
      <c r="FE35" t="e">
        <f>AND(#REF!,"AAAAAHqf76A=")</f>
        <v>#REF!</v>
      </c>
      <c r="FF35" t="e">
        <f>AND(#REF!,"AAAAAHqf76E=")</f>
        <v>#REF!</v>
      </c>
      <c r="FG35" t="e">
        <f>AND(#REF!,"AAAAAHqf76I=")</f>
        <v>#REF!</v>
      </c>
      <c r="FH35" t="e">
        <f>AND(#REF!,"AAAAAHqf76M=")</f>
        <v>#REF!</v>
      </c>
      <c r="FI35" t="e">
        <f>AND(#REF!,"AAAAAHqf76Q=")</f>
        <v>#REF!</v>
      </c>
      <c r="FJ35" t="e">
        <f>AND(#REF!,"AAAAAHqf76U=")</f>
        <v>#REF!</v>
      </c>
      <c r="FK35" t="e">
        <f>AND(#REF!,"AAAAAHqf76Y=")</f>
        <v>#REF!</v>
      </c>
      <c r="FL35" t="e">
        <f>AND(#REF!,"AAAAAHqf76c=")</f>
        <v>#REF!</v>
      </c>
      <c r="FM35" t="e">
        <f>AND(#REF!,"AAAAAHqf76g=")</f>
        <v>#REF!</v>
      </c>
      <c r="FN35" t="e">
        <f>AND(#REF!,"AAAAAHqf76k=")</f>
        <v>#REF!</v>
      </c>
      <c r="FO35" t="e">
        <f>AND(#REF!,"AAAAAHqf76o=")</f>
        <v>#REF!</v>
      </c>
      <c r="FP35" t="e">
        <f>AND(#REF!,"AAAAAHqf76s=")</f>
        <v>#REF!</v>
      </c>
      <c r="FQ35" t="e">
        <f>AND(#REF!,"AAAAAHqf76w=")</f>
        <v>#REF!</v>
      </c>
      <c r="FR35" t="e">
        <f>IF(#REF!,"AAAAAHqf760=",0)</f>
        <v>#REF!</v>
      </c>
      <c r="FS35" t="e">
        <f>AND(#REF!,"AAAAAHqf764=")</f>
        <v>#REF!</v>
      </c>
      <c r="FT35" t="e">
        <f>AND(#REF!,"AAAAAHqf768=")</f>
        <v>#REF!</v>
      </c>
      <c r="FU35" t="e">
        <f>AND(#REF!,"AAAAAHqf77A=")</f>
        <v>#REF!</v>
      </c>
      <c r="FV35" t="e">
        <f>AND(#REF!,"AAAAAHqf77E=")</f>
        <v>#REF!</v>
      </c>
      <c r="FW35" t="e">
        <f>AND(#REF!,"AAAAAHqf77I=")</f>
        <v>#REF!</v>
      </c>
      <c r="FX35" t="e">
        <f>AND(#REF!,"AAAAAHqf77M=")</f>
        <v>#REF!</v>
      </c>
      <c r="FY35" t="e">
        <f>AND(#REF!,"AAAAAHqf77Q=")</f>
        <v>#REF!</v>
      </c>
      <c r="FZ35" t="e">
        <f>AND(#REF!,"AAAAAHqf77U=")</f>
        <v>#REF!</v>
      </c>
      <c r="GA35" t="e">
        <f>AND(#REF!,"AAAAAHqf77Y=")</f>
        <v>#REF!</v>
      </c>
      <c r="GB35" t="e">
        <f>AND(#REF!,"AAAAAHqf77c=")</f>
        <v>#REF!</v>
      </c>
      <c r="GC35" t="e">
        <f>AND(#REF!,"AAAAAHqf77g=")</f>
        <v>#REF!</v>
      </c>
      <c r="GD35" t="e">
        <f>AND(#REF!,"AAAAAHqf77k=")</f>
        <v>#REF!</v>
      </c>
      <c r="GE35" t="e">
        <f>AND(#REF!,"AAAAAHqf77o=")</f>
        <v>#REF!</v>
      </c>
      <c r="GF35" t="e">
        <f>AND(#REF!,"AAAAAHqf77s=")</f>
        <v>#REF!</v>
      </c>
      <c r="GG35" t="e">
        <f>AND(#REF!,"AAAAAHqf77w=")</f>
        <v>#REF!</v>
      </c>
      <c r="GH35" t="e">
        <f>AND(#REF!,"AAAAAHqf770=")</f>
        <v>#REF!</v>
      </c>
      <c r="GI35" t="e">
        <f>AND(#REF!,"AAAAAHqf774=")</f>
        <v>#REF!</v>
      </c>
      <c r="GJ35" t="e">
        <f>AND(#REF!,"AAAAAHqf778=")</f>
        <v>#REF!</v>
      </c>
      <c r="GK35" t="e">
        <f>AND(#REF!,"AAAAAHqf78A=")</f>
        <v>#REF!</v>
      </c>
      <c r="GL35" t="e">
        <f>AND(#REF!,"AAAAAHqf78E=")</f>
        <v>#REF!</v>
      </c>
      <c r="GM35" t="e">
        <f>AND(#REF!,"AAAAAHqf78I=")</f>
        <v>#REF!</v>
      </c>
      <c r="GN35" t="e">
        <f>AND(#REF!,"AAAAAHqf78M=")</f>
        <v>#REF!</v>
      </c>
      <c r="GO35" t="e">
        <f>AND(#REF!,"AAAAAHqf78Q=")</f>
        <v>#REF!</v>
      </c>
      <c r="GP35" t="e">
        <f>IF(#REF!,"AAAAAHqf78U=",0)</f>
        <v>#REF!</v>
      </c>
      <c r="GQ35" t="e">
        <f>AND(#REF!,"AAAAAHqf78Y=")</f>
        <v>#REF!</v>
      </c>
      <c r="GR35" t="e">
        <f>AND(#REF!,"AAAAAHqf78c=")</f>
        <v>#REF!</v>
      </c>
      <c r="GS35" t="e">
        <f>AND(#REF!,"AAAAAHqf78g=")</f>
        <v>#REF!</v>
      </c>
      <c r="GT35" t="e">
        <f>AND(#REF!,"AAAAAHqf78k=")</f>
        <v>#REF!</v>
      </c>
      <c r="GU35" t="e">
        <f>AND(#REF!,"AAAAAHqf78o=")</f>
        <v>#REF!</v>
      </c>
      <c r="GV35" t="e">
        <f>AND(#REF!,"AAAAAHqf78s=")</f>
        <v>#REF!</v>
      </c>
      <c r="GW35" t="e">
        <f>AND(#REF!,"AAAAAHqf78w=")</f>
        <v>#REF!</v>
      </c>
      <c r="GX35" t="e">
        <f>AND(#REF!,"AAAAAHqf780=")</f>
        <v>#REF!</v>
      </c>
      <c r="GY35" t="e">
        <f>AND(#REF!,"AAAAAHqf784=")</f>
        <v>#REF!</v>
      </c>
      <c r="GZ35" t="e">
        <f>AND(#REF!,"AAAAAHqf788=")</f>
        <v>#REF!</v>
      </c>
      <c r="HA35" t="e">
        <f>AND(#REF!,"AAAAAHqf79A=")</f>
        <v>#REF!</v>
      </c>
      <c r="HB35" t="e">
        <f>AND(#REF!,"AAAAAHqf79E=")</f>
        <v>#REF!</v>
      </c>
      <c r="HC35" t="e">
        <f>AND(#REF!,"AAAAAHqf79I=")</f>
        <v>#REF!</v>
      </c>
      <c r="HD35" t="e">
        <f>AND(#REF!,"AAAAAHqf79M=")</f>
        <v>#REF!</v>
      </c>
      <c r="HE35" t="e">
        <f>AND(#REF!,"AAAAAHqf79Q=")</f>
        <v>#REF!</v>
      </c>
      <c r="HF35" t="e">
        <f>AND(#REF!,"AAAAAHqf79U=")</f>
        <v>#REF!</v>
      </c>
      <c r="HG35" t="e">
        <f>AND(#REF!,"AAAAAHqf79Y=")</f>
        <v>#REF!</v>
      </c>
      <c r="HH35" t="e">
        <f>AND(#REF!,"AAAAAHqf79c=")</f>
        <v>#REF!</v>
      </c>
      <c r="HI35" t="e">
        <f>AND(#REF!,"AAAAAHqf79g=")</f>
        <v>#REF!</v>
      </c>
      <c r="HJ35" t="e">
        <f>AND(#REF!,"AAAAAHqf79k=")</f>
        <v>#REF!</v>
      </c>
      <c r="HK35" t="e">
        <f>AND(#REF!,"AAAAAHqf79o=")</f>
        <v>#REF!</v>
      </c>
      <c r="HL35" t="e">
        <f>AND(#REF!,"AAAAAHqf79s=")</f>
        <v>#REF!</v>
      </c>
      <c r="HM35" t="e">
        <f>AND(#REF!,"AAAAAHqf79w=")</f>
        <v>#REF!</v>
      </c>
      <c r="HN35" t="e">
        <f>IF(#REF!,"AAAAAHqf790=",0)</f>
        <v>#REF!</v>
      </c>
      <c r="HO35" t="e">
        <f>AND(#REF!,"AAAAAHqf794=")</f>
        <v>#REF!</v>
      </c>
      <c r="HP35" t="e">
        <f>AND(#REF!,"AAAAAHqf798=")</f>
        <v>#REF!</v>
      </c>
      <c r="HQ35" t="e">
        <f>AND(#REF!,"AAAAAHqf7+A=")</f>
        <v>#REF!</v>
      </c>
      <c r="HR35" t="e">
        <f>AND(#REF!,"AAAAAHqf7+E=")</f>
        <v>#REF!</v>
      </c>
      <c r="HS35" t="e">
        <f>AND(#REF!,"AAAAAHqf7+I=")</f>
        <v>#REF!</v>
      </c>
      <c r="HT35" t="e">
        <f>AND(#REF!,"AAAAAHqf7+M=")</f>
        <v>#REF!</v>
      </c>
      <c r="HU35" t="e">
        <f>AND(#REF!,"AAAAAHqf7+Q=")</f>
        <v>#REF!</v>
      </c>
      <c r="HV35" t="e">
        <f>AND(#REF!,"AAAAAHqf7+U=")</f>
        <v>#REF!</v>
      </c>
      <c r="HW35" t="e">
        <f>AND(#REF!,"AAAAAHqf7+Y=")</f>
        <v>#REF!</v>
      </c>
      <c r="HX35" t="e">
        <f>AND(#REF!,"AAAAAHqf7+c=")</f>
        <v>#REF!</v>
      </c>
      <c r="HY35" t="e">
        <f>AND(#REF!,"AAAAAHqf7+g=")</f>
        <v>#REF!</v>
      </c>
      <c r="HZ35" t="e">
        <f>AND(#REF!,"AAAAAHqf7+k=")</f>
        <v>#REF!</v>
      </c>
      <c r="IA35" t="e">
        <f>AND(#REF!,"AAAAAHqf7+o=")</f>
        <v>#REF!</v>
      </c>
      <c r="IB35" t="e">
        <f>AND(#REF!,"AAAAAHqf7+s=")</f>
        <v>#REF!</v>
      </c>
      <c r="IC35" t="e">
        <f>AND(#REF!,"AAAAAHqf7+w=")</f>
        <v>#REF!</v>
      </c>
      <c r="ID35" t="e">
        <f>AND(#REF!,"AAAAAHqf7+0=")</f>
        <v>#REF!</v>
      </c>
      <c r="IE35" t="e">
        <f>AND(#REF!,"AAAAAHqf7+4=")</f>
        <v>#REF!</v>
      </c>
      <c r="IF35" t="e">
        <f>AND(#REF!,"AAAAAHqf7+8=")</f>
        <v>#REF!</v>
      </c>
      <c r="IG35" t="e">
        <f>AND(#REF!,"AAAAAHqf7/A=")</f>
        <v>#REF!</v>
      </c>
      <c r="IH35" t="e">
        <f>AND(#REF!,"AAAAAHqf7/E=")</f>
        <v>#REF!</v>
      </c>
      <c r="II35" t="e">
        <f>AND(#REF!,"AAAAAHqf7/I=")</f>
        <v>#REF!</v>
      </c>
      <c r="IJ35" t="e">
        <f>AND(#REF!,"AAAAAHqf7/M=")</f>
        <v>#REF!</v>
      </c>
      <c r="IK35" t="e">
        <f>AND(#REF!,"AAAAAHqf7/Q=")</f>
        <v>#REF!</v>
      </c>
      <c r="IL35" t="e">
        <f>IF(#REF!,"AAAAAHqf7/U=",0)</f>
        <v>#REF!</v>
      </c>
      <c r="IM35" t="e">
        <f>AND(#REF!,"AAAAAHqf7/Y=")</f>
        <v>#REF!</v>
      </c>
      <c r="IN35" t="e">
        <f>AND(#REF!,"AAAAAHqf7/c=")</f>
        <v>#REF!</v>
      </c>
      <c r="IO35" t="e">
        <f>AND(#REF!,"AAAAAHqf7/g=")</f>
        <v>#REF!</v>
      </c>
      <c r="IP35" t="e">
        <f>AND(#REF!,"AAAAAHqf7/k=")</f>
        <v>#REF!</v>
      </c>
      <c r="IQ35" t="e">
        <f>AND(#REF!,"AAAAAHqf7/o=")</f>
        <v>#REF!</v>
      </c>
      <c r="IR35" t="e">
        <f>AND(#REF!,"AAAAAHqf7/s=")</f>
        <v>#REF!</v>
      </c>
      <c r="IS35" t="e">
        <f>AND(#REF!,"AAAAAHqf7/w=")</f>
        <v>#REF!</v>
      </c>
      <c r="IT35" t="e">
        <f>AND(#REF!,"AAAAAHqf7/0=")</f>
        <v>#REF!</v>
      </c>
      <c r="IU35" t="e">
        <f>AND(#REF!,"AAAAAHqf7/4=")</f>
        <v>#REF!</v>
      </c>
      <c r="IV35" t="e">
        <f>AND(#REF!,"AAAAAHqf7/8=")</f>
        <v>#REF!</v>
      </c>
    </row>
    <row r="36" spans="1:256" x14ac:dyDescent="0.25">
      <c r="A36" t="e">
        <f>AND(#REF!,"AAAAACv7vgA=")</f>
        <v>#REF!</v>
      </c>
      <c r="B36" t="e">
        <f>AND(#REF!,"AAAAACv7vgE=")</f>
        <v>#REF!</v>
      </c>
      <c r="C36" t="e">
        <f>AND(#REF!,"AAAAACv7vgI=")</f>
        <v>#REF!</v>
      </c>
      <c r="D36" t="e">
        <f>AND(#REF!,"AAAAACv7vgM=")</f>
        <v>#REF!</v>
      </c>
      <c r="E36" t="e">
        <f>AND(#REF!,"AAAAACv7vgQ=")</f>
        <v>#REF!</v>
      </c>
      <c r="F36" t="e">
        <f>AND(#REF!,"AAAAACv7vgU=")</f>
        <v>#REF!</v>
      </c>
      <c r="G36" t="e">
        <f>AND(#REF!,"AAAAACv7vgY=")</f>
        <v>#REF!</v>
      </c>
      <c r="H36" t="e">
        <f>AND(#REF!,"AAAAACv7vgc=")</f>
        <v>#REF!</v>
      </c>
      <c r="I36" t="e">
        <f>AND(#REF!,"AAAAACv7vgg=")</f>
        <v>#REF!</v>
      </c>
      <c r="J36" t="e">
        <f>AND(#REF!,"AAAAACv7vgk=")</f>
        <v>#REF!</v>
      </c>
      <c r="K36" t="e">
        <f>AND(#REF!,"AAAAACv7vgo=")</f>
        <v>#REF!</v>
      </c>
      <c r="L36" t="e">
        <f>AND(#REF!,"AAAAACv7vgs=")</f>
        <v>#REF!</v>
      </c>
      <c r="M36" t="e">
        <f>AND(#REF!,"AAAAACv7vgw=")</f>
        <v>#REF!</v>
      </c>
      <c r="N36" t="e">
        <f>IF(#REF!,"AAAAACv7vg0=",0)</f>
        <v>#REF!</v>
      </c>
      <c r="O36" t="e">
        <f>AND(#REF!,"AAAAACv7vg4=")</f>
        <v>#REF!</v>
      </c>
      <c r="P36" t="e">
        <f>AND(#REF!,"AAAAACv7vg8=")</f>
        <v>#REF!</v>
      </c>
      <c r="Q36" t="e">
        <f>AND(#REF!,"AAAAACv7vhA=")</f>
        <v>#REF!</v>
      </c>
      <c r="R36" t="e">
        <f>AND(#REF!,"AAAAACv7vhE=")</f>
        <v>#REF!</v>
      </c>
      <c r="S36" t="e">
        <f>AND(#REF!,"AAAAACv7vhI=")</f>
        <v>#REF!</v>
      </c>
      <c r="T36" t="e">
        <f>AND(#REF!,"AAAAACv7vhM=")</f>
        <v>#REF!</v>
      </c>
      <c r="U36" t="e">
        <f>AND(#REF!,"AAAAACv7vhQ=")</f>
        <v>#REF!</v>
      </c>
      <c r="V36" t="e">
        <f>AND(#REF!,"AAAAACv7vhU=")</f>
        <v>#REF!</v>
      </c>
      <c r="W36" t="e">
        <f>AND(#REF!,"AAAAACv7vhY=")</f>
        <v>#REF!</v>
      </c>
      <c r="X36" t="e">
        <f>AND(#REF!,"AAAAACv7vhc=")</f>
        <v>#REF!</v>
      </c>
      <c r="Y36" t="e">
        <f>AND(#REF!,"AAAAACv7vhg=")</f>
        <v>#REF!</v>
      </c>
      <c r="Z36" t="e">
        <f>AND(#REF!,"AAAAACv7vhk=")</f>
        <v>#REF!</v>
      </c>
      <c r="AA36" t="e">
        <f>AND(#REF!,"AAAAACv7vho=")</f>
        <v>#REF!</v>
      </c>
      <c r="AB36" t="e">
        <f>AND(#REF!,"AAAAACv7vhs=")</f>
        <v>#REF!</v>
      </c>
      <c r="AC36" t="e">
        <f>AND(#REF!,"AAAAACv7vhw=")</f>
        <v>#REF!</v>
      </c>
      <c r="AD36" t="e">
        <f>AND(#REF!,"AAAAACv7vh0=")</f>
        <v>#REF!</v>
      </c>
      <c r="AE36" t="e">
        <f>AND(#REF!,"AAAAACv7vh4=")</f>
        <v>#REF!</v>
      </c>
      <c r="AF36" t="e">
        <f>AND(#REF!,"AAAAACv7vh8=")</f>
        <v>#REF!</v>
      </c>
      <c r="AG36" t="e">
        <f>AND(#REF!,"AAAAACv7viA=")</f>
        <v>#REF!</v>
      </c>
      <c r="AH36" t="e">
        <f>AND(#REF!,"AAAAACv7viE=")</f>
        <v>#REF!</v>
      </c>
      <c r="AI36" t="e">
        <f>AND(#REF!,"AAAAACv7viI=")</f>
        <v>#REF!</v>
      </c>
      <c r="AJ36" t="e">
        <f>AND(#REF!,"AAAAACv7viM=")</f>
        <v>#REF!</v>
      </c>
      <c r="AK36" t="e">
        <f>AND(#REF!,"AAAAACv7viQ=")</f>
        <v>#REF!</v>
      </c>
      <c r="AL36" t="e">
        <f>IF(#REF!,"AAAAACv7viU=",0)</f>
        <v>#REF!</v>
      </c>
      <c r="AM36" t="e">
        <f>AND(#REF!,"AAAAACv7viY=")</f>
        <v>#REF!</v>
      </c>
      <c r="AN36" t="e">
        <f>AND(#REF!,"AAAAACv7vic=")</f>
        <v>#REF!</v>
      </c>
      <c r="AO36" t="e">
        <f>AND(#REF!,"AAAAACv7vig=")</f>
        <v>#REF!</v>
      </c>
      <c r="AP36" t="e">
        <f>AND(#REF!,"AAAAACv7vik=")</f>
        <v>#REF!</v>
      </c>
      <c r="AQ36" t="e">
        <f>AND(#REF!,"AAAAACv7vio=")</f>
        <v>#REF!</v>
      </c>
      <c r="AR36" t="e">
        <f>AND(#REF!,"AAAAACv7vis=")</f>
        <v>#REF!</v>
      </c>
      <c r="AS36" t="e">
        <f>AND(#REF!,"AAAAACv7viw=")</f>
        <v>#REF!</v>
      </c>
      <c r="AT36" t="e">
        <f>AND(#REF!,"AAAAACv7vi0=")</f>
        <v>#REF!</v>
      </c>
      <c r="AU36" t="e">
        <f>AND(#REF!,"AAAAACv7vi4=")</f>
        <v>#REF!</v>
      </c>
      <c r="AV36" t="e">
        <f>AND(#REF!,"AAAAACv7vi8=")</f>
        <v>#REF!</v>
      </c>
      <c r="AW36" t="e">
        <f>AND(#REF!,"AAAAACv7vjA=")</f>
        <v>#REF!</v>
      </c>
      <c r="AX36" t="e">
        <f>AND(#REF!,"AAAAACv7vjE=")</f>
        <v>#REF!</v>
      </c>
      <c r="AY36" t="e">
        <f>AND(#REF!,"AAAAACv7vjI=")</f>
        <v>#REF!</v>
      </c>
      <c r="AZ36" t="e">
        <f>AND(#REF!,"AAAAACv7vjM=")</f>
        <v>#REF!</v>
      </c>
      <c r="BA36" t="e">
        <f>AND(#REF!,"AAAAACv7vjQ=")</f>
        <v>#REF!</v>
      </c>
      <c r="BB36" t="e">
        <f>AND(#REF!,"AAAAACv7vjU=")</f>
        <v>#REF!</v>
      </c>
      <c r="BC36" t="e">
        <f>AND(#REF!,"AAAAACv7vjY=")</f>
        <v>#REF!</v>
      </c>
      <c r="BD36" t="e">
        <f>AND(#REF!,"AAAAACv7vjc=")</f>
        <v>#REF!</v>
      </c>
      <c r="BE36" t="e">
        <f>AND(#REF!,"AAAAACv7vjg=")</f>
        <v>#REF!</v>
      </c>
      <c r="BF36" t="e">
        <f>AND(#REF!,"AAAAACv7vjk=")</f>
        <v>#REF!</v>
      </c>
      <c r="BG36" t="e">
        <f>AND(#REF!,"AAAAACv7vjo=")</f>
        <v>#REF!</v>
      </c>
      <c r="BH36" t="e">
        <f>AND(#REF!,"AAAAACv7vjs=")</f>
        <v>#REF!</v>
      </c>
      <c r="BI36" t="e">
        <f>AND(#REF!,"AAAAACv7vjw=")</f>
        <v>#REF!</v>
      </c>
      <c r="BJ36" t="e">
        <f>IF(#REF!,"AAAAACv7vj0=",0)</f>
        <v>#REF!</v>
      </c>
      <c r="BK36" t="e">
        <f>AND(#REF!,"AAAAACv7vj4=")</f>
        <v>#REF!</v>
      </c>
      <c r="BL36" t="e">
        <f>AND(#REF!,"AAAAACv7vj8=")</f>
        <v>#REF!</v>
      </c>
      <c r="BM36" t="e">
        <f>AND(#REF!,"AAAAACv7vkA=")</f>
        <v>#REF!</v>
      </c>
      <c r="BN36" t="e">
        <f>AND(#REF!,"AAAAACv7vkE=")</f>
        <v>#REF!</v>
      </c>
      <c r="BO36" t="e">
        <f>AND(#REF!,"AAAAACv7vkI=")</f>
        <v>#REF!</v>
      </c>
      <c r="BP36" t="e">
        <f>AND(#REF!,"AAAAACv7vkM=")</f>
        <v>#REF!</v>
      </c>
      <c r="BQ36" t="e">
        <f>AND(#REF!,"AAAAACv7vkQ=")</f>
        <v>#REF!</v>
      </c>
      <c r="BR36" t="e">
        <f>AND(#REF!,"AAAAACv7vkU=")</f>
        <v>#REF!</v>
      </c>
      <c r="BS36" t="e">
        <f>AND(#REF!,"AAAAACv7vkY=")</f>
        <v>#REF!</v>
      </c>
      <c r="BT36" t="e">
        <f>AND(#REF!,"AAAAACv7vkc=")</f>
        <v>#REF!</v>
      </c>
      <c r="BU36" t="e">
        <f>AND(#REF!,"AAAAACv7vkg=")</f>
        <v>#REF!</v>
      </c>
      <c r="BV36" t="e">
        <f>AND(#REF!,"AAAAACv7vkk=")</f>
        <v>#REF!</v>
      </c>
      <c r="BW36" t="e">
        <f>AND(#REF!,"AAAAACv7vko=")</f>
        <v>#REF!</v>
      </c>
      <c r="BX36" t="e">
        <f>AND(#REF!,"AAAAACv7vks=")</f>
        <v>#REF!</v>
      </c>
      <c r="BY36" t="e">
        <f>AND(#REF!,"AAAAACv7vkw=")</f>
        <v>#REF!</v>
      </c>
      <c r="BZ36" t="e">
        <f>AND(#REF!,"AAAAACv7vk0=")</f>
        <v>#REF!</v>
      </c>
      <c r="CA36" t="e">
        <f>AND(#REF!,"AAAAACv7vk4=")</f>
        <v>#REF!</v>
      </c>
      <c r="CB36" t="e">
        <f>AND(#REF!,"AAAAACv7vk8=")</f>
        <v>#REF!</v>
      </c>
      <c r="CC36" t="e">
        <f>AND(#REF!,"AAAAACv7vlA=")</f>
        <v>#REF!</v>
      </c>
      <c r="CD36" t="e">
        <f>AND(#REF!,"AAAAACv7vlE=")</f>
        <v>#REF!</v>
      </c>
      <c r="CE36" t="e">
        <f>AND(#REF!,"AAAAACv7vlI=")</f>
        <v>#REF!</v>
      </c>
      <c r="CF36" t="e">
        <f>AND(#REF!,"AAAAACv7vlM=")</f>
        <v>#REF!</v>
      </c>
      <c r="CG36" t="e">
        <f>AND(#REF!,"AAAAACv7vlQ=")</f>
        <v>#REF!</v>
      </c>
      <c r="CH36" t="e">
        <f>IF(#REF!,"AAAAACv7vlU=",0)</f>
        <v>#REF!</v>
      </c>
      <c r="CI36" t="e">
        <f>AND(#REF!,"AAAAACv7vlY=")</f>
        <v>#REF!</v>
      </c>
      <c r="CJ36" t="e">
        <f>AND(#REF!,"AAAAACv7vlc=")</f>
        <v>#REF!</v>
      </c>
      <c r="CK36" t="e">
        <f>AND(#REF!,"AAAAACv7vlg=")</f>
        <v>#REF!</v>
      </c>
      <c r="CL36" t="e">
        <f>AND(#REF!,"AAAAACv7vlk=")</f>
        <v>#REF!</v>
      </c>
      <c r="CM36" t="e">
        <f>AND(#REF!,"AAAAACv7vlo=")</f>
        <v>#REF!</v>
      </c>
      <c r="CN36" t="e">
        <f>AND(#REF!,"AAAAACv7vls=")</f>
        <v>#REF!</v>
      </c>
      <c r="CO36" t="e">
        <f>AND(#REF!,"AAAAACv7vlw=")</f>
        <v>#REF!</v>
      </c>
      <c r="CP36" t="e">
        <f>AND(#REF!,"AAAAACv7vl0=")</f>
        <v>#REF!</v>
      </c>
      <c r="CQ36" t="e">
        <f>AND(#REF!,"AAAAACv7vl4=")</f>
        <v>#REF!</v>
      </c>
      <c r="CR36" t="e">
        <f>AND(#REF!,"AAAAACv7vl8=")</f>
        <v>#REF!</v>
      </c>
      <c r="CS36" t="e">
        <f>AND(#REF!,"AAAAACv7vmA=")</f>
        <v>#REF!</v>
      </c>
      <c r="CT36" t="e">
        <f>AND(#REF!,"AAAAACv7vmE=")</f>
        <v>#REF!</v>
      </c>
      <c r="CU36" t="e">
        <f>AND(#REF!,"AAAAACv7vmI=")</f>
        <v>#REF!</v>
      </c>
      <c r="CV36" t="e">
        <f>AND(#REF!,"AAAAACv7vmM=")</f>
        <v>#REF!</v>
      </c>
      <c r="CW36" t="e">
        <f>AND(#REF!,"AAAAACv7vmQ=")</f>
        <v>#REF!</v>
      </c>
      <c r="CX36" t="e">
        <f>AND(#REF!,"AAAAACv7vmU=")</f>
        <v>#REF!</v>
      </c>
      <c r="CY36" t="e">
        <f>AND(#REF!,"AAAAACv7vmY=")</f>
        <v>#REF!</v>
      </c>
      <c r="CZ36" t="e">
        <f>AND(#REF!,"AAAAACv7vmc=")</f>
        <v>#REF!</v>
      </c>
      <c r="DA36" t="e">
        <f>AND(#REF!,"AAAAACv7vmg=")</f>
        <v>#REF!</v>
      </c>
      <c r="DB36" t="e">
        <f>AND(#REF!,"AAAAACv7vmk=")</f>
        <v>#REF!</v>
      </c>
      <c r="DC36" t="e">
        <f>AND(#REF!,"AAAAACv7vmo=")</f>
        <v>#REF!</v>
      </c>
      <c r="DD36" t="e">
        <f>AND(#REF!,"AAAAACv7vms=")</f>
        <v>#REF!</v>
      </c>
      <c r="DE36" t="e">
        <f>AND(#REF!,"AAAAACv7vmw=")</f>
        <v>#REF!</v>
      </c>
      <c r="DF36" t="e">
        <f>IF(#REF!,"AAAAACv7vm0=",0)</f>
        <v>#REF!</v>
      </c>
      <c r="DG36" t="e">
        <f>AND(#REF!,"AAAAACv7vm4=")</f>
        <v>#REF!</v>
      </c>
      <c r="DH36" t="e">
        <f>AND(#REF!,"AAAAACv7vm8=")</f>
        <v>#REF!</v>
      </c>
      <c r="DI36" t="e">
        <f>AND(#REF!,"AAAAACv7vnA=")</f>
        <v>#REF!</v>
      </c>
      <c r="DJ36" t="e">
        <f>AND(#REF!,"AAAAACv7vnE=")</f>
        <v>#REF!</v>
      </c>
      <c r="DK36" t="e">
        <f>AND(#REF!,"AAAAACv7vnI=")</f>
        <v>#REF!</v>
      </c>
      <c r="DL36" t="e">
        <f>AND(#REF!,"AAAAACv7vnM=")</f>
        <v>#REF!</v>
      </c>
      <c r="DM36" t="e">
        <f>AND(#REF!,"AAAAACv7vnQ=")</f>
        <v>#REF!</v>
      </c>
      <c r="DN36" t="e">
        <f>AND(#REF!,"AAAAACv7vnU=")</f>
        <v>#REF!</v>
      </c>
      <c r="DO36" t="e">
        <f>AND(#REF!,"AAAAACv7vnY=")</f>
        <v>#REF!</v>
      </c>
      <c r="DP36" t="e">
        <f>AND(#REF!,"AAAAACv7vnc=")</f>
        <v>#REF!</v>
      </c>
      <c r="DQ36" t="e">
        <f>AND(#REF!,"AAAAACv7vng=")</f>
        <v>#REF!</v>
      </c>
      <c r="DR36" t="e">
        <f>AND(#REF!,"AAAAACv7vnk=")</f>
        <v>#REF!</v>
      </c>
      <c r="DS36" t="e">
        <f>AND(#REF!,"AAAAACv7vno=")</f>
        <v>#REF!</v>
      </c>
      <c r="DT36" t="e">
        <f>AND(#REF!,"AAAAACv7vns=")</f>
        <v>#REF!</v>
      </c>
      <c r="DU36" t="e">
        <f>AND(#REF!,"AAAAACv7vnw=")</f>
        <v>#REF!</v>
      </c>
      <c r="DV36" t="e">
        <f>AND(#REF!,"AAAAACv7vn0=")</f>
        <v>#REF!</v>
      </c>
      <c r="DW36" t="e">
        <f>AND(#REF!,"AAAAACv7vn4=")</f>
        <v>#REF!</v>
      </c>
      <c r="DX36" t="e">
        <f>AND(#REF!,"AAAAACv7vn8=")</f>
        <v>#REF!</v>
      </c>
      <c r="DY36" t="e">
        <f>AND(#REF!,"AAAAACv7voA=")</f>
        <v>#REF!</v>
      </c>
      <c r="DZ36" t="e">
        <f>AND(#REF!,"AAAAACv7voE=")</f>
        <v>#REF!</v>
      </c>
      <c r="EA36" t="e">
        <f>AND(#REF!,"AAAAACv7voI=")</f>
        <v>#REF!</v>
      </c>
      <c r="EB36" t="e">
        <f>AND(#REF!,"AAAAACv7voM=")</f>
        <v>#REF!</v>
      </c>
      <c r="EC36" t="e">
        <f>AND(#REF!,"AAAAACv7voQ=")</f>
        <v>#REF!</v>
      </c>
      <c r="ED36" t="e">
        <f>IF(#REF!,"AAAAACv7voU=",0)</f>
        <v>#REF!</v>
      </c>
      <c r="EE36" t="e">
        <f>AND(#REF!,"AAAAACv7voY=")</f>
        <v>#REF!</v>
      </c>
      <c r="EF36" t="e">
        <f>AND(#REF!,"AAAAACv7voc=")</f>
        <v>#REF!</v>
      </c>
      <c r="EG36" t="e">
        <f>AND(#REF!,"AAAAACv7vog=")</f>
        <v>#REF!</v>
      </c>
      <c r="EH36" t="e">
        <f>AND(#REF!,"AAAAACv7vok=")</f>
        <v>#REF!</v>
      </c>
      <c r="EI36" t="e">
        <f>AND(#REF!,"AAAAACv7voo=")</f>
        <v>#REF!</v>
      </c>
      <c r="EJ36" t="e">
        <f>AND(#REF!,"AAAAACv7vos=")</f>
        <v>#REF!</v>
      </c>
      <c r="EK36" t="e">
        <f>AND(#REF!,"AAAAACv7vow=")</f>
        <v>#REF!</v>
      </c>
      <c r="EL36" t="e">
        <f>AND(#REF!,"AAAAACv7vo0=")</f>
        <v>#REF!</v>
      </c>
      <c r="EM36" t="e">
        <f>AND(#REF!,"AAAAACv7vo4=")</f>
        <v>#REF!</v>
      </c>
      <c r="EN36" t="e">
        <f>AND(#REF!,"AAAAACv7vo8=")</f>
        <v>#REF!</v>
      </c>
      <c r="EO36" t="e">
        <f>AND(#REF!,"AAAAACv7vpA=")</f>
        <v>#REF!</v>
      </c>
      <c r="EP36" t="e">
        <f>AND(#REF!,"AAAAACv7vpE=")</f>
        <v>#REF!</v>
      </c>
      <c r="EQ36" t="e">
        <f>AND(#REF!,"AAAAACv7vpI=")</f>
        <v>#REF!</v>
      </c>
      <c r="ER36" t="e">
        <f>AND(#REF!,"AAAAACv7vpM=")</f>
        <v>#REF!</v>
      </c>
      <c r="ES36" t="e">
        <f>AND(#REF!,"AAAAACv7vpQ=")</f>
        <v>#REF!</v>
      </c>
      <c r="ET36" t="e">
        <f>AND(#REF!,"AAAAACv7vpU=")</f>
        <v>#REF!</v>
      </c>
      <c r="EU36" t="e">
        <f>AND(#REF!,"AAAAACv7vpY=")</f>
        <v>#REF!</v>
      </c>
      <c r="EV36" t="e">
        <f>AND(#REF!,"AAAAACv7vpc=")</f>
        <v>#REF!</v>
      </c>
      <c r="EW36" t="e">
        <f>AND(#REF!,"AAAAACv7vpg=")</f>
        <v>#REF!</v>
      </c>
      <c r="EX36" t="e">
        <f>AND(#REF!,"AAAAACv7vpk=")</f>
        <v>#REF!</v>
      </c>
      <c r="EY36" t="e">
        <f>AND(#REF!,"AAAAACv7vpo=")</f>
        <v>#REF!</v>
      </c>
      <c r="EZ36" t="e">
        <f>AND(#REF!,"AAAAACv7vps=")</f>
        <v>#REF!</v>
      </c>
      <c r="FA36" t="e">
        <f>AND(#REF!,"AAAAACv7vpw=")</f>
        <v>#REF!</v>
      </c>
      <c r="FB36" t="e">
        <f>IF(#REF!,"AAAAACv7vp0=",0)</f>
        <v>#REF!</v>
      </c>
      <c r="FC36" t="e">
        <f>AND(#REF!,"AAAAACv7vp4=")</f>
        <v>#REF!</v>
      </c>
      <c r="FD36" t="e">
        <f>AND(#REF!,"AAAAACv7vp8=")</f>
        <v>#REF!</v>
      </c>
      <c r="FE36" t="e">
        <f>AND(#REF!,"AAAAACv7vqA=")</f>
        <v>#REF!</v>
      </c>
      <c r="FF36" t="e">
        <f>AND(#REF!,"AAAAACv7vqE=")</f>
        <v>#REF!</v>
      </c>
      <c r="FG36" t="e">
        <f>AND(#REF!,"AAAAACv7vqI=")</f>
        <v>#REF!</v>
      </c>
      <c r="FH36" t="e">
        <f>AND(#REF!,"AAAAACv7vqM=")</f>
        <v>#REF!</v>
      </c>
      <c r="FI36" t="e">
        <f>AND(#REF!,"AAAAACv7vqQ=")</f>
        <v>#REF!</v>
      </c>
      <c r="FJ36" t="e">
        <f>AND(#REF!,"AAAAACv7vqU=")</f>
        <v>#REF!</v>
      </c>
      <c r="FK36" t="e">
        <f>AND(#REF!,"AAAAACv7vqY=")</f>
        <v>#REF!</v>
      </c>
      <c r="FL36" t="e">
        <f>AND(#REF!,"AAAAACv7vqc=")</f>
        <v>#REF!</v>
      </c>
      <c r="FM36" t="e">
        <f>AND(#REF!,"AAAAACv7vqg=")</f>
        <v>#REF!</v>
      </c>
      <c r="FN36" t="e">
        <f>AND(#REF!,"AAAAACv7vqk=")</f>
        <v>#REF!</v>
      </c>
      <c r="FO36" t="e">
        <f>AND(#REF!,"AAAAACv7vqo=")</f>
        <v>#REF!</v>
      </c>
      <c r="FP36" t="e">
        <f>AND(#REF!,"AAAAACv7vqs=")</f>
        <v>#REF!</v>
      </c>
      <c r="FQ36" t="e">
        <f>AND(#REF!,"AAAAACv7vqw=")</f>
        <v>#REF!</v>
      </c>
      <c r="FR36" t="e">
        <f>AND(#REF!,"AAAAACv7vq0=")</f>
        <v>#REF!</v>
      </c>
      <c r="FS36" t="e">
        <f>AND(#REF!,"AAAAACv7vq4=")</f>
        <v>#REF!</v>
      </c>
      <c r="FT36" t="e">
        <f>AND(#REF!,"AAAAACv7vq8=")</f>
        <v>#REF!</v>
      </c>
      <c r="FU36" t="e">
        <f>AND(#REF!,"AAAAACv7vrA=")</f>
        <v>#REF!</v>
      </c>
      <c r="FV36" t="e">
        <f>AND(#REF!,"AAAAACv7vrE=")</f>
        <v>#REF!</v>
      </c>
      <c r="FW36" t="e">
        <f>AND(#REF!,"AAAAACv7vrI=")</f>
        <v>#REF!</v>
      </c>
      <c r="FX36" t="e">
        <f>AND(#REF!,"AAAAACv7vrM=")</f>
        <v>#REF!</v>
      </c>
      <c r="FY36" t="e">
        <f>AND(#REF!,"AAAAACv7vrQ=")</f>
        <v>#REF!</v>
      </c>
      <c r="FZ36" t="e">
        <f>IF(#REF!,"AAAAACv7vrU=",0)</f>
        <v>#REF!</v>
      </c>
      <c r="GA36" t="e">
        <f>AND(#REF!,"AAAAACv7vrY=")</f>
        <v>#REF!</v>
      </c>
      <c r="GB36" t="e">
        <f>AND(#REF!,"AAAAACv7vrc=")</f>
        <v>#REF!</v>
      </c>
      <c r="GC36" t="e">
        <f>AND(#REF!,"AAAAACv7vrg=")</f>
        <v>#REF!</v>
      </c>
      <c r="GD36" t="e">
        <f>AND(#REF!,"AAAAACv7vrk=")</f>
        <v>#REF!</v>
      </c>
      <c r="GE36" t="e">
        <f>AND(#REF!,"AAAAACv7vro=")</f>
        <v>#REF!</v>
      </c>
      <c r="GF36" t="e">
        <f>AND(#REF!,"AAAAACv7vrs=")</f>
        <v>#REF!</v>
      </c>
      <c r="GG36" t="e">
        <f>AND(#REF!,"AAAAACv7vrw=")</f>
        <v>#REF!</v>
      </c>
      <c r="GH36" t="e">
        <f>AND(#REF!,"AAAAACv7vr0=")</f>
        <v>#REF!</v>
      </c>
      <c r="GI36" t="e">
        <f>AND(#REF!,"AAAAACv7vr4=")</f>
        <v>#REF!</v>
      </c>
      <c r="GJ36" t="e">
        <f>AND(#REF!,"AAAAACv7vr8=")</f>
        <v>#REF!</v>
      </c>
      <c r="GK36" t="e">
        <f>AND(#REF!,"AAAAACv7vsA=")</f>
        <v>#REF!</v>
      </c>
      <c r="GL36" t="e">
        <f>AND(#REF!,"AAAAACv7vsE=")</f>
        <v>#REF!</v>
      </c>
      <c r="GM36" t="e">
        <f>AND(#REF!,"AAAAACv7vsI=")</f>
        <v>#REF!</v>
      </c>
      <c r="GN36" t="e">
        <f>AND(#REF!,"AAAAACv7vsM=")</f>
        <v>#REF!</v>
      </c>
      <c r="GO36" t="e">
        <f>AND(#REF!,"AAAAACv7vsQ=")</f>
        <v>#REF!</v>
      </c>
      <c r="GP36" t="e">
        <f>AND(#REF!,"AAAAACv7vsU=")</f>
        <v>#REF!</v>
      </c>
      <c r="GQ36" t="e">
        <f>AND(#REF!,"AAAAACv7vsY=")</f>
        <v>#REF!</v>
      </c>
      <c r="GR36" t="e">
        <f>AND(#REF!,"AAAAACv7vsc=")</f>
        <v>#REF!</v>
      </c>
      <c r="GS36" t="e">
        <f>AND(#REF!,"AAAAACv7vsg=")</f>
        <v>#REF!</v>
      </c>
      <c r="GT36" t="e">
        <f>AND(#REF!,"AAAAACv7vsk=")</f>
        <v>#REF!</v>
      </c>
      <c r="GU36" t="e">
        <f>AND(#REF!,"AAAAACv7vso=")</f>
        <v>#REF!</v>
      </c>
      <c r="GV36" t="e">
        <f>AND(#REF!,"AAAAACv7vss=")</f>
        <v>#REF!</v>
      </c>
      <c r="GW36" t="e">
        <f>AND(#REF!,"AAAAACv7vsw=")</f>
        <v>#REF!</v>
      </c>
      <c r="GX36" t="e">
        <f>IF(#REF!,"AAAAACv7vs0=",0)</f>
        <v>#REF!</v>
      </c>
      <c r="GY36" t="e">
        <f>AND(#REF!,"AAAAACv7vs4=")</f>
        <v>#REF!</v>
      </c>
      <c r="GZ36" t="e">
        <f>AND(#REF!,"AAAAACv7vs8=")</f>
        <v>#REF!</v>
      </c>
      <c r="HA36" t="e">
        <f>AND(#REF!,"AAAAACv7vtA=")</f>
        <v>#REF!</v>
      </c>
      <c r="HB36" t="e">
        <f>AND(#REF!,"AAAAACv7vtE=")</f>
        <v>#REF!</v>
      </c>
      <c r="HC36" t="e">
        <f>AND(#REF!,"AAAAACv7vtI=")</f>
        <v>#REF!</v>
      </c>
      <c r="HD36" t="e">
        <f>AND(#REF!,"AAAAACv7vtM=")</f>
        <v>#REF!</v>
      </c>
      <c r="HE36" t="e">
        <f>AND(#REF!,"AAAAACv7vtQ=")</f>
        <v>#REF!</v>
      </c>
      <c r="HF36" t="e">
        <f>AND(#REF!,"AAAAACv7vtU=")</f>
        <v>#REF!</v>
      </c>
      <c r="HG36" t="e">
        <f>AND(#REF!,"AAAAACv7vtY=")</f>
        <v>#REF!</v>
      </c>
      <c r="HH36" t="e">
        <f>AND(#REF!,"AAAAACv7vtc=")</f>
        <v>#REF!</v>
      </c>
      <c r="HI36" t="e">
        <f>AND(#REF!,"AAAAACv7vtg=")</f>
        <v>#REF!</v>
      </c>
      <c r="HJ36" t="e">
        <f>AND(#REF!,"AAAAACv7vtk=")</f>
        <v>#REF!</v>
      </c>
      <c r="HK36" t="e">
        <f>AND(#REF!,"AAAAACv7vto=")</f>
        <v>#REF!</v>
      </c>
      <c r="HL36" t="e">
        <f>AND(#REF!,"AAAAACv7vts=")</f>
        <v>#REF!</v>
      </c>
      <c r="HM36" t="e">
        <f>AND(#REF!,"AAAAACv7vtw=")</f>
        <v>#REF!</v>
      </c>
      <c r="HN36" t="e">
        <f>AND(#REF!,"AAAAACv7vt0=")</f>
        <v>#REF!</v>
      </c>
      <c r="HO36" t="e">
        <f>AND(#REF!,"AAAAACv7vt4=")</f>
        <v>#REF!</v>
      </c>
      <c r="HP36" t="e">
        <f>AND(#REF!,"AAAAACv7vt8=")</f>
        <v>#REF!</v>
      </c>
      <c r="HQ36" t="e">
        <f>AND(#REF!,"AAAAACv7vuA=")</f>
        <v>#REF!</v>
      </c>
      <c r="HR36" t="e">
        <f>AND(#REF!,"AAAAACv7vuE=")</f>
        <v>#REF!</v>
      </c>
      <c r="HS36" t="e">
        <f>AND(#REF!,"AAAAACv7vuI=")</f>
        <v>#REF!</v>
      </c>
      <c r="HT36" t="e">
        <f>AND(#REF!,"AAAAACv7vuM=")</f>
        <v>#REF!</v>
      </c>
      <c r="HU36" t="e">
        <f>AND(#REF!,"AAAAACv7vuQ=")</f>
        <v>#REF!</v>
      </c>
      <c r="HV36" t="e">
        <f>IF(#REF!,"AAAAACv7vuU=",0)</f>
        <v>#REF!</v>
      </c>
      <c r="HW36" t="e">
        <f>AND(#REF!,"AAAAACv7vuY=")</f>
        <v>#REF!</v>
      </c>
      <c r="HX36" t="e">
        <f>AND(#REF!,"AAAAACv7vuc=")</f>
        <v>#REF!</v>
      </c>
      <c r="HY36" t="e">
        <f>AND(#REF!,"AAAAACv7vug=")</f>
        <v>#REF!</v>
      </c>
      <c r="HZ36" t="e">
        <f>AND(#REF!,"AAAAACv7vuk=")</f>
        <v>#REF!</v>
      </c>
      <c r="IA36" t="e">
        <f>AND(#REF!,"AAAAACv7vuo=")</f>
        <v>#REF!</v>
      </c>
      <c r="IB36" t="e">
        <f>AND(#REF!,"AAAAACv7vus=")</f>
        <v>#REF!</v>
      </c>
      <c r="IC36" t="e">
        <f>AND(#REF!,"AAAAACv7vuw=")</f>
        <v>#REF!</v>
      </c>
      <c r="ID36" t="e">
        <f>AND(#REF!,"AAAAACv7vu0=")</f>
        <v>#REF!</v>
      </c>
      <c r="IE36" t="e">
        <f>AND(#REF!,"AAAAACv7vu4=")</f>
        <v>#REF!</v>
      </c>
      <c r="IF36" t="e">
        <f>AND(#REF!,"AAAAACv7vu8=")</f>
        <v>#REF!</v>
      </c>
      <c r="IG36" t="e">
        <f>AND(#REF!,"AAAAACv7vvA=")</f>
        <v>#REF!</v>
      </c>
      <c r="IH36" t="e">
        <f>AND(#REF!,"AAAAACv7vvE=")</f>
        <v>#REF!</v>
      </c>
      <c r="II36" t="e">
        <f>AND(#REF!,"AAAAACv7vvI=")</f>
        <v>#REF!</v>
      </c>
      <c r="IJ36" t="e">
        <f>AND(#REF!,"AAAAACv7vvM=")</f>
        <v>#REF!</v>
      </c>
      <c r="IK36" t="e">
        <f>AND(#REF!,"AAAAACv7vvQ=")</f>
        <v>#REF!</v>
      </c>
      <c r="IL36" t="e">
        <f>AND(#REF!,"AAAAACv7vvU=")</f>
        <v>#REF!</v>
      </c>
      <c r="IM36" t="e">
        <f>AND(#REF!,"AAAAACv7vvY=")</f>
        <v>#REF!</v>
      </c>
      <c r="IN36" t="e">
        <f>AND(#REF!,"AAAAACv7vvc=")</f>
        <v>#REF!</v>
      </c>
      <c r="IO36" t="e">
        <f>AND(#REF!,"AAAAACv7vvg=")</f>
        <v>#REF!</v>
      </c>
      <c r="IP36" t="e">
        <f>AND(#REF!,"AAAAACv7vvk=")</f>
        <v>#REF!</v>
      </c>
      <c r="IQ36" t="e">
        <f>AND(#REF!,"AAAAACv7vvo=")</f>
        <v>#REF!</v>
      </c>
      <c r="IR36" t="e">
        <f>AND(#REF!,"AAAAACv7vvs=")</f>
        <v>#REF!</v>
      </c>
      <c r="IS36" t="e">
        <f>AND(#REF!,"AAAAACv7vvw=")</f>
        <v>#REF!</v>
      </c>
      <c r="IT36" t="e">
        <f>IF(#REF!,"AAAAACv7vv0=",0)</f>
        <v>#REF!</v>
      </c>
      <c r="IU36" t="e">
        <f>AND(#REF!,"AAAAACv7vv4=")</f>
        <v>#REF!</v>
      </c>
      <c r="IV36" t="e">
        <f>AND(#REF!,"AAAAACv7vv8=")</f>
        <v>#REF!</v>
      </c>
    </row>
    <row r="37" spans="1:256" x14ac:dyDescent="0.25">
      <c r="A37" t="e">
        <f>AND(#REF!,"AAAAAB76/wA=")</f>
        <v>#REF!</v>
      </c>
      <c r="B37" t="e">
        <f>AND(#REF!,"AAAAAB76/wE=")</f>
        <v>#REF!</v>
      </c>
      <c r="C37" t="e">
        <f>AND(#REF!,"AAAAAB76/wI=")</f>
        <v>#REF!</v>
      </c>
      <c r="D37" t="e">
        <f>AND(#REF!,"AAAAAB76/wM=")</f>
        <v>#REF!</v>
      </c>
      <c r="E37" t="e">
        <f>AND(#REF!,"AAAAAB76/wQ=")</f>
        <v>#REF!</v>
      </c>
      <c r="F37" t="e">
        <f>AND(#REF!,"AAAAAB76/wU=")</f>
        <v>#REF!</v>
      </c>
      <c r="G37" t="e">
        <f>AND(#REF!,"AAAAAB76/wY=")</f>
        <v>#REF!</v>
      </c>
      <c r="H37" t="e">
        <f>AND(#REF!,"AAAAAB76/wc=")</f>
        <v>#REF!</v>
      </c>
      <c r="I37" t="e">
        <f>AND(#REF!,"AAAAAB76/wg=")</f>
        <v>#REF!</v>
      </c>
      <c r="J37" t="e">
        <f>AND(#REF!,"AAAAAB76/wk=")</f>
        <v>#REF!</v>
      </c>
      <c r="K37" t="e">
        <f>AND(#REF!,"AAAAAB76/wo=")</f>
        <v>#REF!</v>
      </c>
      <c r="L37" t="e">
        <f>AND(#REF!,"AAAAAB76/ws=")</f>
        <v>#REF!</v>
      </c>
      <c r="M37" t="e">
        <f>AND(#REF!,"AAAAAB76/ww=")</f>
        <v>#REF!</v>
      </c>
      <c r="N37" t="e">
        <f>AND(#REF!,"AAAAAB76/w0=")</f>
        <v>#REF!</v>
      </c>
      <c r="O37" t="e">
        <f>AND(#REF!,"AAAAAB76/w4=")</f>
        <v>#REF!</v>
      </c>
      <c r="P37" t="e">
        <f>AND(#REF!,"AAAAAB76/w8=")</f>
        <v>#REF!</v>
      </c>
      <c r="Q37" t="e">
        <f>AND(#REF!,"AAAAAB76/xA=")</f>
        <v>#REF!</v>
      </c>
      <c r="R37" t="e">
        <f>AND(#REF!,"AAAAAB76/xE=")</f>
        <v>#REF!</v>
      </c>
      <c r="S37" t="e">
        <f>AND(#REF!,"AAAAAB76/xI=")</f>
        <v>#REF!</v>
      </c>
      <c r="T37" t="e">
        <f>AND(#REF!,"AAAAAB76/xM=")</f>
        <v>#REF!</v>
      </c>
      <c r="U37" t="e">
        <f>AND(#REF!,"AAAAAB76/xQ=")</f>
        <v>#REF!</v>
      </c>
      <c r="V37" t="e">
        <f>IF(#REF!,"AAAAAB76/xU=",0)</f>
        <v>#REF!</v>
      </c>
      <c r="W37" t="e">
        <f>AND(#REF!,"AAAAAB76/xY=")</f>
        <v>#REF!</v>
      </c>
      <c r="X37" t="e">
        <f>AND(#REF!,"AAAAAB76/xc=")</f>
        <v>#REF!</v>
      </c>
      <c r="Y37" t="e">
        <f>AND(#REF!,"AAAAAB76/xg=")</f>
        <v>#REF!</v>
      </c>
      <c r="Z37" t="e">
        <f>AND(#REF!,"AAAAAB76/xk=")</f>
        <v>#REF!</v>
      </c>
      <c r="AA37" t="e">
        <f>AND(#REF!,"AAAAAB76/xo=")</f>
        <v>#REF!</v>
      </c>
      <c r="AB37" t="e">
        <f>AND(#REF!,"AAAAAB76/xs=")</f>
        <v>#REF!</v>
      </c>
      <c r="AC37" t="e">
        <f>AND(#REF!,"AAAAAB76/xw=")</f>
        <v>#REF!</v>
      </c>
      <c r="AD37" t="e">
        <f>AND(#REF!,"AAAAAB76/x0=")</f>
        <v>#REF!</v>
      </c>
      <c r="AE37" t="e">
        <f>AND(#REF!,"AAAAAB76/x4=")</f>
        <v>#REF!</v>
      </c>
      <c r="AF37" t="e">
        <f>AND(#REF!,"AAAAAB76/x8=")</f>
        <v>#REF!</v>
      </c>
      <c r="AG37" t="e">
        <f>AND(#REF!,"AAAAAB76/yA=")</f>
        <v>#REF!</v>
      </c>
      <c r="AH37" t="e">
        <f>AND(#REF!,"AAAAAB76/yE=")</f>
        <v>#REF!</v>
      </c>
      <c r="AI37" t="e">
        <f>AND(#REF!,"AAAAAB76/yI=")</f>
        <v>#REF!</v>
      </c>
      <c r="AJ37" t="e">
        <f>AND(#REF!,"AAAAAB76/yM=")</f>
        <v>#REF!</v>
      </c>
      <c r="AK37" t="e">
        <f>AND(#REF!,"AAAAAB76/yQ=")</f>
        <v>#REF!</v>
      </c>
      <c r="AL37" t="e">
        <f>AND(#REF!,"AAAAAB76/yU=")</f>
        <v>#REF!</v>
      </c>
      <c r="AM37" t="e">
        <f>AND(#REF!,"AAAAAB76/yY=")</f>
        <v>#REF!</v>
      </c>
      <c r="AN37" t="e">
        <f>AND(#REF!,"AAAAAB76/yc=")</f>
        <v>#REF!</v>
      </c>
      <c r="AO37" t="e">
        <f>AND(#REF!,"AAAAAB76/yg=")</f>
        <v>#REF!</v>
      </c>
      <c r="AP37" t="e">
        <f>AND(#REF!,"AAAAAB76/yk=")</f>
        <v>#REF!</v>
      </c>
      <c r="AQ37" t="e">
        <f>AND(#REF!,"AAAAAB76/yo=")</f>
        <v>#REF!</v>
      </c>
      <c r="AR37" t="e">
        <f>AND(#REF!,"AAAAAB76/ys=")</f>
        <v>#REF!</v>
      </c>
      <c r="AS37" t="e">
        <f>AND(#REF!,"AAAAAB76/yw=")</f>
        <v>#REF!</v>
      </c>
      <c r="AT37" t="e">
        <f>IF(#REF!,"AAAAAB76/y0=",0)</f>
        <v>#REF!</v>
      </c>
      <c r="AU37" t="e">
        <f>AND(#REF!,"AAAAAB76/y4=")</f>
        <v>#REF!</v>
      </c>
      <c r="AV37" t="e">
        <f>AND(#REF!,"AAAAAB76/y8=")</f>
        <v>#REF!</v>
      </c>
      <c r="AW37" t="e">
        <f>AND(#REF!,"AAAAAB76/zA=")</f>
        <v>#REF!</v>
      </c>
      <c r="AX37" t="e">
        <f>AND(#REF!,"AAAAAB76/zE=")</f>
        <v>#REF!</v>
      </c>
      <c r="AY37" t="e">
        <f>AND(#REF!,"AAAAAB76/zI=")</f>
        <v>#REF!</v>
      </c>
      <c r="AZ37" t="e">
        <f>AND(#REF!,"AAAAAB76/zM=")</f>
        <v>#REF!</v>
      </c>
      <c r="BA37" t="e">
        <f>AND(#REF!,"AAAAAB76/zQ=")</f>
        <v>#REF!</v>
      </c>
      <c r="BB37" t="e">
        <f>AND(#REF!,"AAAAAB76/zU=")</f>
        <v>#REF!</v>
      </c>
      <c r="BC37" t="e">
        <f>AND(#REF!,"AAAAAB76/zY=")</f>
        <v>#REF!</v>
      </c>
      <c r="BD37" t="e">
        <f>AND(#REF!,"AAAAAB76/zc=")</f>
        <v>#REF!</v>
      </c>
      <c r="BE37" t="e">
        <f>AND(#REF!,"AAAAAB76/zg=")</f>
        <v>#REF!</v>
      </c>
      <c r="BF37" t="e">
        <f>AND(#REF!,"AAAAAB76/zk=")</f>
        <v>#REF!</v>
      </c>
      <c r="BG37" t="e">
        <f>AND(#REF!,"AAAAAB76/zo=")</f>
        <v>#REF!</v>
      </c>
      <c r="BH37" t="e">
        <f>AND(#REF!,"AAAAAB76/zs=")</f>
        <v>#REF!</v>
      </c>
      <c r="BI37" t="e">
        <f>AND(#REF!,"AAAAAB76/zw=")</f>
        <v>#REF!</v>
      </c>
      <c r="BJ37" t="e">
        <f>AND(#REF!,"AAAAAB76/z0=")</f>
        <v>#REF!</v>
      </c>
      <c r="BK37" t="e">
        <f>AND(#REF!,"AAAAAB76/z4=")</f>
        <v>#REF!</v>
      </c>
      <c r="BL37" t="e">
        <f>AND(#REF!,"AAAAAB76/z8=")</f>
        <v>#REF!</v>
      </c>
      <c r="BM37" t="e">
        <f>AND(#REF!,"AAAAAB76/0A=")</f>
        <v>#REF!</v>
      </c>
      <c r="BN37" t="e">
        <f>AND(#REF!,"AAAAAB76/0E=")</f>
        <v>#REF!</v>
      </c>
      <c r="BO37" t="e">
        <f>AND(#REF!,"AAAAAB76/0I=")</f>
        <v>#REF!</v>
      </c>
      <c r="BP37" t="e">
        <f>AND(#REF!,"AAAAAB76/0M=")</f>
        <v>#REF!</v>
      </c>
      <c r="BQ37" t="e">
        <f>AND(#REF!,"AAAAAB76/0Q=")</f>
        <v>#REF!</v>
      </c>
      <c r="BR37" t="e">
        <f>IF(#REF!,"AAAAAB76/0U=",0)</f>
        <v>#REF!</v>
      </c>
      <c r="BS37" t="e">
        <f>AND(#REF!,"AAAAAB76/0Y=")</f>
        <v>#REF!</v>
      </c>
      <c r="BT37" t="e">
        <f>AND(#REF!,"AAAAAB76/0c=")</f>
        <v>#REF!</v>
      </c>
      <c r="BU37" t="e">
        <f>AND(#REF!,"AAAAAB76/0g=")</f>
        <v>#REF!</v>
      </c>
      <c r="BV37" t="e">
        <f>AND(#REF!,"AAAAAB76/0k=")</f>
        <v>#REF!</v>
      </c>
      <c r="BW37" t="e">
        <f>AND(#REF!,"AAAAAB76/0o=")</f>
        <v>#REF!</v>
      </c>
      <c r="BX37" t="e">
        <f>AND(#REF!,"AAAAAB76/0s=")</f>
        <v>#REF!</v>
      </c>
      <c r="BY37" t="e">
        <f>AND(#REF!,"AAAAAB76/0w=")</f>
        <v>#REF!</v>
      </c>
      <c r="BZ37" t="e">
        <f>AND(#REF!,"AAAAAB76/00=")</f>
        <v>#REF!</v>
      </c>
      <c r="CA37" t="e">
        <f>AND(#REF!,"AAAAAB76/04=")</f>
        <v>#REF!</v>
      </c>
      <c r="CB37" t="e">
        <f>AND(#REF!,"AAAAAB76/08=")</f>
        <v>#REF!</v>
      </c>
      <c r="CC37" t="e">
        <f>AND(#REF!,"AAAAAB76/1A=")</f>
        <v>#REF!</v>
      </c>
      <c r="CD37" t="e">
        <f>AND(#REF!,"AAAAAB76/1E=")</f>
        <v>#REF!</v>
      </c>
      <c r="CE37" t="e">
        <f>AND(#REF!,"AAAAAB76/1I=")</f>
        <v>#REF!</v>
      </c>
      <c r="CF37" t="e">
        <f>AND(#REF!,"AAAAAB76/1M=")</f>
        <v>#REF!</v>
      </c>
      <c r="CG37" t="e">
        <f>AND(#REF!,"AAAAAB76/1Q=")</f>
        <v>#REF!</v>
      </c>
      <c r="CH37" t="e">
        <f>AND(#REF!,"AAAAAB76/1U=")</f>
        <v>#REF!</v>
      </c>
      <c r="CI37" t="e">
        <f>AND(#REF!,"AAAAAB76/1Y=")</f>
        <v>#REF!</v>
      </c>
      <c r="CJ37" t="e">
        <f>AND(#REF!,"AAAAAB76/1c=")</f>
        <v>#REF!</v>
      </c>
      <c r="CK37" t="e">
        <f>AND(#REF!,"AAAAAB76/1g=")</f>
        <v>#REF!</v>
      </c>
      <c r="CL37" t="e">
        <f>AND(#REF!,"AAAAAB76/1k=")</f>
        <v>#REF!</v>
      </c>
      <c r="CM37" t="e">
        <f>AND(#REF!,"AAAAAB76/1o=")</f>
        <v>#REF!</v>
      </c>
      <c r="CN37" t="e">
        <f>AND(#REF!,"AAAAAB76/1s=")</f>
        <v>#REF!</v>
      </c>
      <c r="CO37" t="e">
        <f>AND(#REF!,"AAAAAB76/1w=")</f>
        <v>#REF!</v>
      </c>
      <c r="CP37" t="e">
        <f>IF(#REF!,"AAAAAB76/10=",0)</f>
        <v>#REF!</v>
      </c>
      <c r="CQ37" t="e">
        <f>AND(#REF!,"AAAAAB76/14=")</f>
        <v>#REF!</v>
      </c>
      <c r="CR37" t="e">
        <f>AND(#REF!,"AAAAAB76/18=")</f>
        <v>#REF!</v>
      </c>
      <c r="CS37" t="e">
        <f>AND(#REF!,"AAAAAB76/2A=")</f>
        <v>#REF!</v>
      </c>
      <c r="CT37" t="e">
        <f>AND(#REF!,"AAAAAB76/2E=")</f>
        <v>#REF!</v>
      </c>
      <c r="CU37" t="e">
        <f>AND(#REF!,"AAAAAB76/2I=")</f>
        <v>#REF!</v>
      </c>
      <c r="CV37" t="e">
        <f>AND(#REF!,"AAAAAB76/2M=")</f>
        <v>#REF!</v>
      </c>
      <c r="CW37" t="e">
        <f>AND(#REF!,"AAAAAB76/2Q=")</f>
        <v>#REF!</v>
      </c>
      <c r="CX37" t="e">
        <f>AND(#REF!,"AAAAAB76/2U=")</f>
        <v>#REF!</v>
      </c>
      <c r="CY37" t="e">
        <f>AND(#REF!,"AAAAAB76/2Y=")</f>
        <v>#REF!</v>
      </c>
      <c r="CZ37" t="e">
        <f>AND(#REF!,"AAAAAB76/2c=")</f>
        <v>#REF!</v>
      </c>
      <c r="DA37" t="e">
        <f>AND(#REF!,"AAAAAB76/2g=")</f>
        <v>#REF!</v>
      </c>
      <c r="DB37" t="e">
        <f>AND(#REF!,"AAAAAB76/2k=")</f>
        <v>#REF!</v>
      </c>
      <c r="DC37" t="e">
        <f>AND(#REF!,"AAAAAB76/2o=")</f>
        <v>#REF!</v>
      </c>
      <c r="DD37" t="e">
        <f>AND(#REF!,"AAAAAB76/2s=")</f>
        <v>#REF!</v>
      </c>
      <c r="DE37" t="e">
        <f>AND(#REF!,"AAAAAB76/2w=")</f>
        <v>#REF!</v>
      </c>
      <c r="DF37" t="e">
        <f>AND(#REF!,"AAAAAB76/20=")</f>
        <v>#REF!</v>
      </c>
      <c r="DG37" t="e">
        <f>AND(#REF!,"AAAAAB76/24=")</f>
        <v>#REF!</v>
      </c>
      <c r="DH37" t="e">
        <f>AND(#REF!,"AAAAAB76/28=")</f>
        <v>#REF!</v>
      </c>
      <c r="DI37" t="e">
        <f>AND(#REF!,"AAAAAB76/3A=")</f>
        <v>#REF!</v>
      </c>
      <c r="DJ37" t="e">
        <f>AND(#REF!,"AAAAAB76/3E=")</f>
        <v>#REF!</v>
      </c>
      <c r="DK37" t="e">
        <f>AND(#REF!,"AAAAAB76/3I=")</f>
        <v>#REF!</v>
      </c>
      <c r="DL37" t="e">
        <f>AND(#REF!,"AAAAAB76/3M=")</f>
        <v>#REF!</v>
      </c>
      <c r="DM37" t="e">
        <f>AND(#REF!,"AAAAAB76/3Q=")</f>
        <v>#REF!</v>
      </c>
      <c r="DN37" t="e">
        <f>IF(#REF!,"AAAAAB76/3U=",0)</f>
        <v>#REF!</v>
      </c>
      <c r="DO37" t="e">
        <f>AND(#REF!,"AAAAAB76/3Y=")</f>
        <v>#REF!</v>
      </c>
      <c r="DP37" t="e">
        <f>AND(#REF!,"AAAAAB76/3c=")</f>
        <v>#REF!</v>
      </c>
      <c r="DQ37" t="e">
        <f>AND(#REF!,"AAAAAB76/3g=")</f>
        <v>#REF!</v>
      </c>
      <c r="DR37" t="e">
        <f>AND(#REF!,"AAAAAB76/3k=")</f>
        <v>#REF!</v>
      </c>
      <c r="DS37" t="e">
        <f>AND(#REF!,"AAAAAB76/3o=")</f>
        <v>#REF!</v>
      </c>
      <c r="DT37" t="e">
        <f>AND(#REF!,"AAAAAB76/3s=")</f>
        <v>#REF!</v>
      </c>
      <c r="DU37" t="e">
        <f>AND(#REF!,"AAAAAB76/3w=")</f>
        <v>#REF!</v>
      </c>
      <c r="DV37" t="e">
        <f>AND(#REF!,"AAAAAB76/30=")</f>
        <v>#REF!</v>
      </c>
      <c r="DW37" t="e">
        <f>AND(#REF!,"AAAAAB76/34=")</f>
        <v>#REF!</v>
      </c>
      <c r="DX37" t="e">
        <f>AND(#REF!,"AAAAAB76/38=")</f>
        <v>#REF!</v>
      </c>
      <c r="DY37" t="e">
        <f>AND(#REF!,"AAAAAB76/4A=")</f>
        <v>#REF!</v>
      </c>
      <c r="DZ37" t="e">
        <f>AND(#REF!,"AAAAAB76/4E=")</f>
        <v>#REF!</v>
      </c>
      <c r="EA37" t="e">
        <f>AND(#REF!,"AAAAAB76/4I=")</f>
        <v>#REF!</v>
      </c>
      <c r="EB37" t="e">
        <f>AND(#REF!,"AAAAAB76/4M=")</f>
        <v>#REF!</v>
      </c>
      <c r="EC37" t="e">
        <f>AND(#REF!,"AAAAAB76/4Q=")</f>
        <v>#REF!</v>
      </c>
      <c r="ED37" t="e">
        <f>AND(#REF!,"AAAAAB76/4U=")</f>
        <v>#REF!</v>
      </c>
      <c r="EE37" t="e">
        <f>AND(#REF!,"AAAAAB76/4Y=")</f>
        <v>#REF!</v>
      </c>
      <c r="EF37" t="e">
        <f>AND(#REF!,"AAAAAB76/4c=")</f>
        <v>#REF!</v>
      </c>
      <c r="EG37" t="e">
        <f>AND(#REF!,"AAAAAB76/4g=")</f>
        <v>#REF!</v>
      </c>
      <c r="EH37" t="e">
        <f>AND(#REF!,"AAAAAB76/4k=")</f>
        <v>#REF!</v>
      </c>
      <c r="EI37" t="e">
        <f>AND(#REF!,"AAAAAB76/4o=")</f>
        <v>#REF!</v>
      </c>
      <c r="EJ37" t="e">
        <f>AND(#REF!,"AAAAAB76/4s=")</f>
        <v>#REF!</v>
      </c>
      <c r="EK37" t="e">
        <f>AND(#REF!,"AAAAAB76/4w=")</f>
        <v>#REF!</v>
      </c>
      <c r="EL37" t="e">
        <f>IF(#REF!,"AAAAAB76/40=",0)</f>
        <v>#REF!</v>
      </c>
      <c r="EM37" t="e">
        <f>AND(#REF!,"AAAAAB76/44=")</f>
        <v>#REF!</v>
      </c>
      <c r="EN37" t="e">
        <f>AND(#REF!,"AAAAAB76/48=")</f>
        <v>#REF!</v>
      </c>
      <c r="EO37" t="e">
        <f>AND(#REF!,"AAAAAB76/5A=")</f>
        <v>#REF!</v>
      </c>
      <c r="EP37" t="e">
        <f>AND(#REF!,"AAAAAB76/5E=")</f>
        <v>#REF!</v>
      </c>
      <c r="EQ37" t="e">
        <f>AND(#REF!,"AAAAAB76/5I=")</f>
        <v>#REF!</v>
      </c>
      <c r="ER37" t="e">
        <f>AND(#REF!,"AAAAAB76/5M=")</f>
        <v>#REF!</v>
      </c>
      <c r="ES37" t="e">
        <f>AND(#REF!,"AAAAAB76/5Q=")</f>
        <v>#REF!</v>
      </c>
      <c r="ET37" t="e">
        <f>AND(#REF!,"AAAAAB76/5U=")</f>
        <v>#REF!</v>
      </c>
      <c r="EU37" t="e">
        <f>AND(#REF!,"AAAAAB76/5Y=")</f>
        <v>#REF!</v>
      </c>
      <c r="EV37" t="e">
        <f>AND(#REF!,"AAAAAB76/5c=")</f>
        <v>#REF!</v>
      </c>
      <c r="EW37" t="e">
        <f>AND(#REF!,"AAAAAB76/5g=")</f>
        <v>#REF!</v>
      </c>
      <c r="EX37" t="e">
        <f>AND(#REF!,"AAAAAB76/5k=")</f>
        <v>#REF!</v>
      </c>
      <c r="EY37" t="e">
        <f>AND(#REF!,"AAAAAB76/5o=")</f>
        <v>#REF!</v>
      </c>
      <c r="EZ37" t="e">
        <f>AND(#REF!,"AAAAAB76/5s=")</f>
        <v>#REF!</v>
      </c>
      <c r="FA37" t="e">
        <f>AND(#REF!,"AAAAAB76/5w=")</f>
        <v>#REF!</v>
      </c>
      <c r="FB37" t="e">
        <f>AND(#REF!,"AAAAAB76/50=")</f>
        <v>#REF!</v>
      </c>
      <c r="FC37" t="e">
        <f>AND(#REF!,"AAAAAB76/54=")</f>
        <v>#REF!</v>
      </c>
      <c r="FD37" t="e">
        <f>AND(#REF!,"AAAAAB76/58=")</f>
        <v>#REF!</v>
      </c>
      <c r="FE37" t="e">
        <f>AND(#REF!,"AAAAAB76/6A=")</f>
        <v>#REF!</v>
      </c>
      <c r="FF37" t="e">
        <f>AND(#REF!,"AAAAAB76/6E=")</f>
        <v>#REF!</v>
      </c>
      <c r="FG37" t="e">
        <f>AND(#REF!,"AAAAAB76/6I=")</f>
        <v>#REF!</v>
      </c>
      <c r="FH37" t="e">
        <f>AND(#REF!,"AAAAAB76/6M=")</f>
        <v>#REF!</v>
      </c>
      <c r="FI37" t="e">
        <f>AND(#REF!,"AAAAAB76/6Q=")</f>
        <v>#REF!</v>
      </c>
      <c r="FJ37" t="e">
        <f>IF(#REF!,"AAAAAB76/6U=",0)</f>
        <v>#REF!</v>
      </c>
      <c r="FK37" t="e">
        <f>AND(#REF!,"AAAAAB76/6Y=")</f>
        <v>#REF!</v>
      </c>
      <c r="FL37" t="e">
        <f>AND(#REF!,"AAAAAB76/6c=")</f>
        <v>#REF!</v>
      </c>
      <c r="FM37" t="e">
        <f>AND(#REF!,"AAAAAB76/6g=")</f>
        <v>#REF!</v>
      </c>
      <c r="FN37" t="e">
        <f>AND(#REF!,"AAAAAB76/6k=")</f>
        <v>#REF!</v>
      </c>
      <c r="FO37" t="e">
        <f>AND(#REF!,"AAAAAB76/6o=")</f>
        <v>#REF!</v>
      </c>
      <c r="FP37" t="e">
        <f>AND(#REF!,"AAAAAB76/6s=")</f>
        <v>#REF!</v>
      </c>
      <c r="FQ37" t="e">
        <f>AND(#REF!,"AAAAAB76/6w=")</f>
        <v>#REF!</v>
      </c>
      <c r="FR37" t="e">
        <f>AND(#REF!,"AAAAAB76/60=")</f>
        <v>#REF!</v>
      </c>
      <c r="FS37" t="e">
        <f>AND(#REF!,"AAAAAB76/64=")</f>
        <v>#REF!</v>
      </c>
      <c r="FT37" t="e">
        <f>AND(#REF!,"AAAAAB76/68=")</f>
        <v>#REF!</v>
      </c>
      <c r="FU37" t="e">
        <f>AND(#REF!,"AAAAAB76/7A=")</f>
        <v>#REF!</v>
      </c>
      <c r="FV37" t="e">
        <f>AND(#REF!,"AAAAAB76/7E=")</f>
        <v>#REF!</v>
      </c>
      <c r="FW37" t="e">
        <f>AND(#REF!,"AAAAAB76/7I=")</f>
        <v>#REF!</v>
      </c>
      <c r="FX37" t="e">
        <f>AND(#REF!,"AAAAAB76/7M=")</f>
        <v>#REF!</v>
      </c>
      <c r="FY37" t="e">
        <f>AND(#REF!,"AAAAAB76/7Q=")</f>
        <v>#REF!</v>
      </c>
      <c r="FZ37" t="e">
        <f>AND(#REF!,"AAAAAB76/7U=")</f>
        <v>#REF!</v>
      </c>
      <c r="GA37" t="e">
        <f>AND(#REF!,"AAAAAB76/7Y=")</f>
        <v>#REF!</v>
      </c>
      <c r="GB37" t="e">
        <f>AND(#REF!,"AAAAAB76/7c=")</f>
        <v>#REF!</v>
      </c>
      <c r="GC37" t="e">
        <f>AND(#REF!,"AAAAAB76/7g=")</f>
        <v>#REF!</v>
      </c>
      <c r="GD37" t="e">
        <f>AND(#REF!,"AAAAAB76/7k=")</f>
        <v>#REF!</v>
      </c>
      <c r="GE37" t="e">
        <f>AND(#REF!,"AAAAAB76/7o=")</f>
        <v>#REF!</v>
      </c>
      <c r="GF37" t="e">
        <f>AND(#REF!,"AAAAAB76/7s=")</f>
        <v>#REF!</v>
      </c>
      <c r="GG37" t="e">
        <f>AND(#REF!,"AAAAAB76/7w=")</f>
        <v>#REF!</v>
      </c>
      <c r="GH37" t="e">
        <f>IF(#REF!,"AAAAAB76/70=",0)</f>
        <v>#REF!</v>
      </c>
      <c r="GI37" t="e">
        <f>AND(#REF!,"AAAAAB76/74=")</f>
        <v>#REF!</v>
      </c>
      <c r="GJ37" t="e">
        <f>AND(#REF!,"AAAAAB76/78=")</f>
        <v>#REF!</v>
      </c>
      <c r="GK37" t="e">
        <f>AND(#REF!,"AAAAAB76/8A=")</f>
        <v>#REF!</v>
      </c>
      <c r="GL37" t="e">
        <f>AND(#REF!,"AAAAAB76/8E=")</f>
        <v>#REF!</v>
      </c>
      <c r="GM37" t="e">
        <f>AND(#REF!,"AAAAAB76/8I=")</f>
        <v>#REF!</v>
      </c>
      <c r="GN37" t="e">
        <f>AND(#REF!,"AAAAAB76/8M=")</f>
        <v>#REF!</v>
      </c>
      <c r="GO37" t="e">
        <f>AND(#REF!,"AAAAAB76/8Q=")</f>
        <v>#REF!</v>
      </c>
      <c r="GP37" t="e">
        <f>AND(#REF!,"AAAAAB76/8U=")</f>
        <v>#REF!</v>
      </c>
      <c r="GQ37" t="e">
        <f>AND(#REF!,"AAAAAB76/8Y=")</f>
        <v>#REF!</v>
      </c>
      <c r="GR37" t="e">
        <f>AND(#REF!,"AAAAAB76/8c=")</f>
        <v>#REF!</v>
      </c>
      <c r="GS37" t="e">
        <f>AND(#REF!,"AAAAAB76/8g=")</f>
        <v>#REF!</v>
      </c>
      <c r="GT37" t="e">
        <f>AND(#REF!,"AAAAAB76/8k=")</f>
        <v>#REF!</v>
      </c>
      <c r="GU37" t="e">
        <f>AND(#REF!,"AAAAAB76/8o=")</f>
        <v>#REF!</v>
      </c>
      <c r="GV37" t="e">
        <f>AND(#REF!,"AAAAAB76/8s=")</f>
        <v>#REF!</v>
      </c>
      <c r="GW37" t="e">
        <f>AND(#REF!,"AAAAAB76/8w=")</f>
        <v>#REF!</v>
      </c>
      <c r="GX37" t="e">
        <f>AND(#REF!,"AAAAAB76/80=")</f>
        <v>#REF!</v>
      </c>
      <c r="GY37" t="e">
        <f>AND(#REF!,"AAAAAB76/84=")</f>
        <v>#REF!</v>
      </c>
      <c r="GZ37" t="e">
        <f>AND(#REF!,"AAAAAB76/88=")</f>
        <v>#REF!</v>
      </c>
      <c r="HA37" t="e">
        <f>AND(#REF!,"AAAAAB76/9A=")</f>
        <v>#REF!</v>
      </c>
      <c r="HB37" t="e">
        <f>AND(#REF!,"AAAAAB76/9E=")</f>
        <v>#REF!</v>
      </c>
      <c r="HC37" t="e">
        <f>AND(#REF!,"AAAAAB76/9I=")</f>
        <v>#REF!</v>
      </c>
      <c r="HD37" t="e">
        <f>AND(#REF!,"AAAAAB76/9M=")</f>
        <v>#REF!</v>
      </c>
      <c r="HE37" t="e">
        <f>AND(#REF!,"AAAAAB76/9Q=")</f>
        <v>#REF!</v>
      </c>
      <c r="HF37" t="e">
        <f>IF(#REF!,"AAAAAB76/9U=",0)</f>
        <v>#REF!</v>
      </c>
      <c r="HG37" t="e">
        <f>AND(#REF!,"AAAAAB76/9Y=")</f>
        <v>#REF!</v>
      </c>
      <c r="HH37" t="e">
        <f>AND(#REF!,"AAAAAB76/9c=")</f>
        <v>#REF!</v>
      </c>
      <c r="HI37" t="e">
        <f>AND(#REF!,"AAAAAB76/9g=")</f>
        <v>#REF!</v>
      </c>
      <c r="HJ37" t="e">
        <f>AND(#REF!,"AAAAAB76/9k=")</f>
        <v>#REF!</v>
      </c>
      <c r="HK37" t="e">
        <f>AND(#REF!,"AAAAAB76/9o=")</f>
        <v>#REF!</v>
      </c>
      <c r="HL37" t="e">
        <f>AND(#REF!,"AAAAAB76/9s=")</f>
        <v>#REF!</v>
      </c>
      <c r="HM37" t="e">
        <f>AND(#REF!,"AAAAAB76/9w=")</f>
        <v>#REF!</v>
      </c>
      <c r="HN37" t="e">
        <f>AND(#REF!,"AAAAAB76/90=")</f>
        <v>#REF!</v>
      </c>
      <c r="HO37" t="e">
        <f>AND(#REF!,"AAAAAB76/94=")</f>
        <v>#REF!</v>
      </c>
      <c r="HP37" t="e">
        <f>AND(#REF!,"AAAAAB76/98=")</f>
        <v>#REF!</v>
      </c>
      <c r="HQ37" t="e">
        <f>AND(#REF!,"AAAAAB76/+A=")</f>
        <v>#REF!</v>
      </c>
      <c r="HR37" t="e">
        <f>AND(#REF!,"AAAAAB76/+E=")</f>
        <v>#REF!</v>
      </c>
      <c r="HS37" t="e">
        <f>AND(#REF!,"AAAAAB76/+I=")</f>
        <v>#REF!</v>
      </c>
      <c r="HT37" t="e">
        <f>AND(#REF!,"AAAAAB76/+M=")</f>
        <v>#REF!</v>
      </c>
      <c r="HU37" t="e">
        <f>AND(#REF!,"AAAAAB76/+Q=")</f>
        <v>#REF!</v>
      </c>
      <c r="HV37" t="e">
        <f>AND(#REF!,"AAAAAB76/+U=")</f>
        <v>#REF!</v>
      </c>
      <c r="HW37" t="e">
        <f>AND(#REF!,"AAAAAB76/+Y=")</f>
        <v>#REF!</v>
      </c>
      <c r="HX37" t="e">
        <f>AND(#REF!,"AAAAAB76/+c=")</f>
        <v>#REF!</v>
      </c>
      <c r="HY37" t="e">
        <f>AND(#REF!,"AAAAAB76/+g=")</f>
        <v>#REF!</v>
      </c>
      <c r="HZ37" t="e">
        <f>AND(#REF!,"AAAAAB76/+k=")</f>
        <v>#REF!</v>
      </c>
      <c r="IA37" t="e">
        <f>AND(#REF!,"AAAAAB76/+o=")</f>
        <v>#REF!</v>
      </c>
      <c r="IB37" t="e">
        <f>AND(#REF!,"AAAAAB76/+s=")</f>
        <v>#REF!</v>
      </c>
      <c r="IC37" t="e">
        <f>AND(#REF!,"AAAAAB76/+w=")</f>
        <v>#REF!</v>
      </c>
      <c r="ID37" t="e">
        <f>IF(#REF!,"AAAAAB76/+0=",0)</f>
        <v>#REF!</v>
      </c>
      <c r="IE37" t="e">
        <f>AND(#REF!,"AAAAAB76/+4=")</f>
        <v>#REF!</v>
      </c>
      <c r="IF37" t="e">
        <f>AND(#REF!,"AAAAAB76/+8=")</f>
        <v>#REF!</v>
      </c>
      <c r="IG37" t="e">
        <f>AND(#REF!,"AAAAAB76//A=")</f>
        <v>#REF!</v>
      </c>
      <c r="IH37" t="e">
        <f>AND(#REF!,"AAAAAB76//E=")</f>
        <v>#REF!</v>
      </c>
      <c r="II37" t="e">
        <f>AND(#REF!,"AAAAAB76//I=")</f>
        <v>#REF!</v>
      </c>
      <c r="IJ37" t="e">
        <f>AND(#REF!,"AAAAAB76//M=")</f>
        <v>#REF!</v>
      </c>
      <c r="IK37" t="e">
        <f>AND(#REF!,"AAAAAB76//Q=")</f>
        <v>#REF!</v>
      </c>
      <c r="IL37" t="e">
        <f>AND(#REF!,"AAAAAB76//U=")</f>
        <v>#REF!</v>
      </c>
      <c r="IM37" t="e">
        <f>AND(#REF!,"AAAAAB76//Y=")</f>
        <v>#REF!</v>
      </c>
      <c r="IN37" t="e">
        <f>AND(#REF!,"AAAAAB76//c=")</f>
        <v>#REF!</v>
      </c>
      <c r="IO37" t="e">
        <f>AND(#REF!,"AAAAAB76//g=")</f>
        <v>#REF!</v>
      </c>
      <c r="IP37" t="e">
        <f>AND(#REF!,"AAAAAB76//k=")</f>
        <v>#REF!</v>
      </c>
      <c r="IQ37" t="e">
        <f>AND(#REF!,"AAAAAB76//o=")</f>
        <v>#REF!</v>
      </c>
      <c r="IR37" t="e">
        <f>AND(#REF!,"AAAAAB76//s=")</f>
        <v>#REF!</v>
      </c>
      <c r="IS37" t="e">
        <f>AND(#REF!,"AAAAAB76//w=")</f>
        <v>#REF!</v>
      </c>
      <c r="IT37" t="e">
        <f>AND(#REF!,"AAAAAB76//0=")</f>
        <v>#REF!</v>
      </c>
      <c r="IU37" t="e">
        <f>AND(#REF!,"AAAAAB76//4=")</f>
        <v>#REF!</v>
      </c>
      <c r="IV37" t="e">
        <f>AND(#REF!,"AAAAAB76//8=")</f>
        <v>#REF!</v>
      </c>
    </row>
    <row r="38" spans="1:256" x14ac:dyDescent="0.25">
      <c r="A38" t="e">
        <f>AND(#REF!,"AAAAAC/W7QA=")</f>
        <v>#REF!</v>
      </c>
      <c r="B38" t="e">
        <f>AND(#REF!,"AAAAAC/W7QE=")</f>
        <v>#REF!</v>
      </c>
      <c r="C38" t="e">
        <f>AND(#REF!,"AAAAAC/W7QI=")</f>
        <v>#REF!</v>
      </c>
      <c r="D38" t="e">
        <f>AND(#REF!,"AAAAAC/W7QM=")</f>
        <v>#REF!</v>
      </c>
      <c r="E38" t="e">
        <f>AND(#REF!,"AAAAAC/W7QQ=")</f>
        <v>#REF!</v>
      </c>
      <c r="F38" t="e">
        <f>IF(#REF!,"AAAAAC/W7QU=",0)</f>
        <v>#REF!</v>
      </c>
      <c r="G38" t="e">
        <f>AND(#REF!,"AAAAAC/W7QY=")</f>
        <v>#REF!</v>
      </c>
      <c r="H38" t="e">
        <f>AND(#REF!,"AAAAAC/W7Qc=")</f>
        <v>#REF!</v>
      </c>
      <c r="I38" t="e">
        <f>AND(#REF!,"AAAAAC/W7Qg=")</f>
        <v>#REF!</v>
      </c>
      <c r="J38" t="e">
        <f>AND(#REF!,"AAAAAC/W7Qk=")</f>
        <v>#REF!</v>
      </c>
      <c r="K38" t="e">
        <f>AND(#REF!,"AAAAAC/W7Qo=")</f>
        <v>#REF!</v>
      </c>
      <c r="L38" t="e">
        <f>AND(#REF!,"AAAAAC/W7Qs=")</f>
        <v>#REF!</v>
      </c>
      <c r="M38" t="e">
        <f>AND(#REF!,"AAAAAC/W7Qw=")</f>
        <v>#REF!</v>
      </c>
      <c r="N38" t="e">
        <f>AND(#REF!,"AAAAAC/W7Q0=")</f>
        <v>#REF!</v>
      </c>
      <c r="O38" t="e">
        <f>AND(#REF!,"AAAAAC/W7Q4=")</f>
        <v>#REF!</v>
      </c>
      <c r="P38" t="e">
        <f>AND(#REF!,"AAAAAC/W7Q8=")</f>
        <v>#REF!</v>
      </c>
      <c r="Q38" t="e">
        <f>AND(#REF!,"AAAAAC/W7RA=")</f>
        <v>#REF!</v>
      </c>
      <c r="R38" t="e">
        <f>AND(#REF!,"AAAAAC/W7RE=")</f>
        <v>#REF!</v>
      </c>
      <c r="S38" t="e">
        <f>AND(#REF!,"AAAAAC/W7RI=")</f>
        <v>#REF!</v>
      </c>
      <c r="T38" t="e">
        <f>AND(#REF!,"AAAAAC/W7RM=")</f>
        <v>#REF!</v>
      </c>
      <c r="U38" t="e">
        <f>AND(#REF!,"AAAAAC/W7RQ=")</f>
        <v>#REF!</v>
      </c>
      <c r="V38" t="e">
        <f>AND(#REF!,"AAAAAC/W7RU=")</f>
        <v>#REF!</v>
      </c>
      <c r="W38" t="e">
        <f>AND(#REF!,"AAAAAC/W7RY=")</f>
        <v>#REF!</v>
      </c>
      <c r="X38" t="e">
        <f>AND(#REF!,"AAAAAC/W7Rc=")</f>
        <v>#REF!</v>
      </c>
      <c r="Y38" t="e">
        <f>AND(#REF!,"AAAAAC/W7Rg=")</f>
        <v>#REF!</v>
      </c>
      <c r="Z38" t="e">
        <f>AND(#REF!,"AAAAAC/W7Rk=")</f>
        <v>#REF!</v>
      </c>
      <c r="AA38" t="e">
        <f>AND(#REF!,"AAAAAC/W7Ro=")</f>
        <v>#REF!</v>
      </c>
      <c r="AB38" t="e">
        <f>AND(#REF!,"AAAAAC/W7Rs=")</f>
        <v>#REF!</v>
      </c>
      <c r="AC38" t="e">
        <f>AND(#REF!,"AAAAAC/W7Rw=")</f>
        <v>#REF!</v>
      </c>
      <c r="AD38" t="e">
        <f>IF(#REF!,"AAAAAC/W7R0=",0)</f>
        <v>#REF!</v>
      </c>
      <c r="AE38" t="e">
        <f>AND(#REF!,"AAAAAC/W7R4=")</f>
        <v>#REF!</v>
      </c>
      <c r="AF38" t="e">
        <f>AND(#REF!,"AAAAAC/W7R8=")</f>
        <v>#REF!</v>
      </c>
      <c r="AG38" t="e">
        <f>AND(#REF!,"AAAAAC/W7SA=")</f>
        <v>#REF!</v>
      </c>
      <c r="AH38" t="e">
        <f>AND(#REF!,"AAAAAC/W7SE=")</f>
        <v>#REF!</v>
      </c>
      <c r="AI38" t="e">
        <f>AND(#REF!,"AAAAAC/W7SI=")</f>
        <v>#REF!</v>
      </c>
      <c r="AJ38" t="e">
        <f>AND(#REF!,"AAAAAC/W7SM=")</f>
        <v>#REF!</v>
      </c>
      <c r="AK38" t="e">
        <f>AND(#REF!,"AAAAAC/W7SQ=")</f>
        <v>#REF!</v>
      </c>
      <c r="AL38" t="e">
        <f>AND(#REF!,"AAAAAC/W7SU=")</f>
        <v>#REF!</v>
      </c>
      <c r="AM38" t="e">
        <f>AND(#REF!,"AAAAAC/W7SY=")</f>
        <v>#REF!</v>
      </c>
      <c r="AN38" t="e">
        <f>AND(#REF!,"AAAAAC/W7Sc=")</f>
        <v>#REF!</v>
      </c>
      <c r="AO38" t="e">
        <f>AND(#REF!,"AAAAAC/W7Sg=")</f>
        <v>#REF!</v>
      </c>
      <c r="AP38" t="e">
        <f>AND(#REF!,"AAAAAC/W7Sk=")</f>
        <v>#REF!</v>
      </c>
      <c r="AQ38" t="e">
        <f>AND(#REF!,"AAAAAC/W7So=")</f>
        <v>#REF!</v>
      </c>
      <c r="AR38" t="e">
        <f>AND(#REF!,"AAAAAC/W7Ss=")</f>
        <v>#REF!</v>
      </c>
      <c r="AS38" t="e">
        <f>AND(#REF!,"AAAAAC/W7Sw=")</f>
        <v>#REF!</v>
      </c>
      <c r="AT38" t="e">
        <f>AND(#REF!,"AAAAAC/W7S0=")</f>
        <v>#REF!</v>
      </c>
      <c r="AU38" t="e">
        <f>AND(#REF!,"AAAAAC/W7S4=")</f>
        <v>#REF!</v>
      </c>
      <c r="AV38" t="e">
        <f>AND(#REF!,"AAAAAC/W7S8=")</f>
        <v>#REF!</v>
      </c>
      <c r="AW38" t="e">
        <f>AND(#REF!,"AAAAAC/W7TA=")</f>
        <v>#REF!</v>
      </c>
      <c r="AX38" t="e">
        <f>AND(#REF!,"AAAAAC/W7TE=")</f>
        <v>#REF!</v>
      </c>
      <c r="AY38" t="e">
        <f>AND(#REF!,"AAAAAC/W7TI=")</f>
        <v>#REF!</v>
      </c>
      <c r="AZ38" t="e">
        <f>AND(#REF!,"AAAAAC/W7TM=")</f>
        <v>#REF!</v>
      </c>
      <c r="BA38" t="e">
        <f>AND(#REF!,"AAAAAC/W7TQ=")</f>
        <v>#REF!</v>
      </c>
      <c r="BB38" t="e">
        <f>IF(#REF!,"AAAAAC/W7TU=",0)</f>
        <v>#REF!</v>
      </c>
      <c r="BC38" t="e">
        <f>AND(#REF!,"AAAAAC/W7TY=")</f>
        <v>#REF!</v>
      </c>
      <c r="BD38" t="e">
        <f>AND(#REF!,"AAAAAC/W7Tc=")</f>
        <v>#REF!</v>
      </c>
      <c r="BE38" t="e">
        <f>AND(#REF!,"AAAAAC/W7Tg=")</f>
        <v>#REF!</v>
      </c>
      <c r="BF38" t="e">
        <f>AND(#REF!,"AAAAAC/W7Tk=")</f>
        <v>#REF!</v>
      </c>
      <c r="BG38" t="e">
        <f>AND(#REF!,"AAAAAC/W7To=")</f>
        <v>#REF!</v>
      </c>
      <c r="BH38" t="e">
        <f>AND(#REF!,"AAAAAC/W7Ts=")</f>
        <v>#REF!</v>
      </c>
      <c r="BI38" t="e">
        <f>AND(#REF!,"AAAAAC/W7Tw=")</f>
        <v>#REF!</v>
      </c>
      <c r="BJ38" t="e">
        <f>AND(#REF!,"AAAAAC/W7T0=")</f>
        <v>#REF!</v>
      </c>
      <c r="BK38" t="e">
        <f>AND(#REF!,"AAAAAC/W7T4=")</f>
        <v>#REF!</v>
      </c>
      <c r="BL38" t="e">
        <f>AND(#REF!,"AAAAAC/W7T8=")</f>
        <v>#REF!</v>
      </c>
      <c r="BM38" t="e">
        <f>AND(#REF!,"AAAAAC/W7UA=")</f>
        <v>#REF!</v>
      </c>
      <c r="BN38" t="e">
        <f>AND(#REF!,"AAAAAC/W7UE=")</f>
        <v>#REF!</v>
      </c>
      <c r="BO38" t="e">
        <f>AND(#REF!,"AAAAAC/W7UI=")</f>
        <v>#REF!</v>
      </c>
      <c r="BP38" t="e">
        <f>AND(#REF!,"AAAAAC/W7UM=")</f>
        <v>#REF!</v>
      </c>
      <c r="BQ38" t="e">
        <f>AND(#REF!,"AAAAAC/W7UQ=")</f>
        <v>#REF!</v>
      </c>
      <c r="BR38" t="e">
        <f>AND(#REF!,"AAAAAC/W7UU=")</f>
        <v>#REF!</v>
      </c>
      <c r="BS38" t="e">
        <f>AND(#REF!,"AAAAAC/W7UY=")</f>
        <v>#REF!</v>
      </c>
      <c r="BT38" t="e">
        <f>AND(#REF!,"AAAAAC/W7Uc=")</f>
        <v>#REF!</v>
      </c>
      <c r="BU38" t="e">
        <f>AND(#REF!,"AAAAAC/W7Ug=")</f>
        <v>#REF!</v>
      </c>
      <c r="BV38" t="e">
        <f>AND(#REF!,"AAAAAC/W7Uk=")</f>
        <v>#REF!</v>
      </c>
      <c r="BW38" t="e">
        <f>AND(#REF!,"AAAAAC/W7Uo=")</f>
        <v>#REF!</v>
      </c>
      <c r="BX38" t="e">
        <f>AND(#REF!,"AAAAAC/W7Us=")</f>
        <v>#REF!</v>
      </c>
      <c r="BY38" t="e">
        <f>AND(#REF!,"AAAAAC/W7Uw=")</f>
        <v>#REF!</v>
      </c>
      <c r="BZ38" t="e">
        <f>IF(#REF!,"AAAAAC/W7U0=",0)</f>
        <v>#REF!</v>
      </c>
      <c r="CA38" t="e">
        <f>AND(#REF!,"AAAAAC/W7U4=")</f>
        <v>#REF!</v>
      </c>
      <c r="CB38" t="e">
        <f>AND(#REF!,"AAAAAC/W7U8=")</f>
        <v>#REF!</v>
      </c>
      <c r="CC38" t="e">
        <f>AND(#REF!,"AAAAAC/W7VA=")</f>
        <v>#REF!</v>
      </c>
      <c r="CD38" t="e">
        <f>AND(#REF!,"AAAAAC/W7VE=")</f>
        <v>#REF!</v>
      </c>
      <c r="CE38" t="e">
        <f>AND(#REF!,"AAAAAC/W7VI=")</f>
        <v>#REF!</v>
      </c>
      <c r="CF38" t="e">
        <f>AND(#REF!,"AAAAAC/W7VM=")</f>
        <v>#REF!</v>
      </c>
      <c r="CG38" t="e">
        <f>AND(#REF!,"AAAAAC/W7VQ=")</f>
        <v>#REF!</v>
      </c>
      <c r="CH38" t="e">
        <f>AND(#REF!,"AAAAAC/W7VU=")</f>
        <v>#REF!</v>
      </c>
      <c r="CI38" t="e">
        <f>AND(#REF!,"AAAAAC/W7VY=")</f>
        <v>#REF!</v>
      </c>
      <c r="CJ38" t="e">
        <f>AND(#REF!,"AAAAAC/W7Vc=")</f>
        <v>#REF!</v>
      </c>
      <c r="CK38" t="e">
        <f>AND(#REF!,"AAAAAC/W7Vg=")</f>
        <v>#REF!</v>
      </c>
      <c r="CL38" t="e">
        <f>AND(#REF!,"AAAAAC/W7Vk=")</f>
        <v>#REF!</v>
      </c>
      <c r="CM38" t="e">
        <f>AND(#REF!,"AAAAAC/W7Vo=")</f>
        <v>#REF!</v>
      </c>
      <c r="CN38" t="e">
        <f>AND(#REF!,"AAAAAC/W7Vs=")</f>
        <v>#REF!</v>
      </c>
      <c r="CO38" t="e">
        <f>AND(#REF!,"AAAAAC/W7Vw=")</f>
        <v>#REF!</v>
      </c>
      <c r="CP38" t="e">
        <f>AND(#REF!,"AAAAAC/W7V0=")</f>
        <v>#REF!</v>
      </c>
      <c r="CQ38" t="e">
        <f>AND(#REF!,"AAAAAC/W7V4=")</f>
        <v>#REF!</v>
      </c>
      <c r="CR38" t="e">
        <f>AND(#REF!,"AAAAAC/W7V8=")</f>
        <v>#REF!</v>
      </c>
      <c r="CS38" t="e">
        <f>AND(#REF!,"AAAAAC/W7WA=")</f>
        <v>#REF!</v>
      </c>
      <c r="CT38" t="e">
        <f>AND(#REF!,"AAAAAC/W7WE=")</f>
        <v>#REF!</v>
      </c>
      <c r="CU38" t="e">
        <f>AND(#REF!,"AAAAAC/W7WI=")</f>
        <v>#REF!</v>
      </c>
      <c r="CV38" t="e">
        <f>AND(#REF!,"AAAAAC/W7WM=")</f>
        <v>#REF!</v>
      </c>
      <c r="CW38" t="e">
        <f>AND(#REF!,"AAAAAC/W7WQ=")</f>
        <v>#REF!</v>
      </c>
      <c r="CX38" t="e">
        <f>IF(#REF!,"AAAAAC/W7WU=",0)</f>
        <v>#REF!</v>
      </c>
      <c r="CY38" t="e">
        <f>AND(#REF!,"AAAAAC/W7WY=")</f>
        <v>#REF!</v>
      </c>
      <c r="CZ38" t="e">
        <f>AND(#REF!,"AAAAAC/W7Wc=")</f>
        <v>#REF!</v>
      </c>
      <c r="DA38" t="e">
        <f>AND(#REF!,"AAAAAC/W7Wg=")</f>
        <v>#REF!</v>
      </c>
      <c r="DB38" t="e">
        <f>AND(#REF!,"AAAAAC/W7Wk=")</f>
        <v>#REF!</v>
      </c>
      <c r="DC38" t="e">
        <f>AND(#REF!,"AAAAAC/W7Wo=")</f>
        <v>#REF!</v>
      </c>
      <c r="DD38" t="e">
        <f>AND(#REF!,"AAAAAC/W7Ws=")</f>
        <v>#REF!</v>
      </c>
      <c r="DE38" t="e">
        <f>AND(#REF!,"AAAAAC/W7Ww=")</f>
        <v>#REF!</v>
      </c>
      <c r="DF38" t="e">
        <f>AND(#REF!,"AAAAAC/W7W0=")</f>
        <v>#REF!</v>
      </c>
      <c r="DG38" t="e">
        <f>AND(#REF!,"AAAAAC/W7W4=")</f>
        <v>#REF!</v>
      </c>
      <c r="DH38" t="e">
        <f>AND(#REF!,"AAAAAC/W7W8=")</f>
        <v>#REF!</v>
      </c>
      <c r="DI38" t="e">
        <f>AND(#REF!,"AAAAAC/W7XA=")</f>
        <v>#REF!</v>
      </c>
      <c r="DJ38" t="e">
        <f>AND(#REF!,"AAAAAC/W7XE=")</f>
        <v>#REF!</v>
      </c>
      <c r="DK38" t="e">
        <f>AND(#REF!,"AAAAAC/W7XI=")</f>
        <v>#REF!</v>
      </c>
      <c r="DL38" t="e">
        <f>AND(#REF!,"AAAAAC/W7XM=")</f>
        <v>#REF!</v>
      </c>
      <c r="DM38" t="e">
        <f>AND(#REF!,"AAAAAC/W7XQ=")</f>
        <v>#REF!</v>
      </c>
      <c r="DN38" t="e">
        <f>AND(#REF!,"AAAAAC/W7XU=")</f>
        <v>#REF!</v>
      </c>
      <c r="DO38" t="e">
        <f>AND(#REF!,"AAAAAC/W7XY=")</f>
        <v>#REF!</v>
      </c>
      <c r="DP38" t="e">
        <f>AND(#REF!,"AAAAAC/W7Xc=")</f>
        <v>#REF!</v>
      </c>
      <c r="DQ38" t="e">
        <f>AND(#REF!,"AAAAAC/W7Xg=")</f>
        <v>#REF!</v>
      </c>
      <c r="DR38" t="e">
        <f>AND(#REF!,"AAAAAC/W7Xk=")</f>
        <v>#REF!</v>
      </c>
      <c r="DS38" t="e">
        <f>AND(#REF!,"AAAAAC/W7Xo=")</f>
        <v>#REF!</v>
      </c>
      <c r="DT38" t="e">
        <f>AND(#REF!,"AAAAAC/W7Xs=")</f>
        <v>#REF!</v>
      </c>
      <c r="DU38" t="e">
        <f>AND(#REF!,"AAAAAC/W7Xw=")</f>
        <v>#REF!</v>
      </c>
      <c r="DV38" t="e">
        <f>IF(#REF!,"AAAAAC/W7X0=",0)</f>
        <v>#REF!</v>
      </c>
      <c r="DW38" t="e">
        <f>AND(#REF!,"AAAAAC/W7X4=")</f>
        <v>#REF!</v>
      </c>
      <c r="DX38" t="e">
        <f>AND(#REF!,"AAAAAC/W7X8=")</f>
        <v>#REF!</v>
      </c>
      <c r="DY38" t="e">
        <f>AND(#REF!,"AAAAAC/W7YA=")</f>
        <v>#REF!</v>
      </c>
      <c r="DZ38" t="e">
        <f>AND(#REF!,"AAAAAC/W7YE=")</f>
        <v>#REF!</v>
      </c>
      <c r="EA38" t="e">
        <f>AND(#REF!,"AAAAAC/W7YI=")</f>
        <v>#REF!</v>
      </c>
      <c r="EB38" t="e">
        <f>AND(#REF!,"AAAAAC/W7YM=")</f>
        <v>#REF!</v>
      </c>
      <c r="EC38" t="e">
        <f>AND(#REF!,"AAAAAC/W7YQ=")</f>
        <v>#REF!</v>
      </c>
      <c r="ED38" t="e">
        <f>AND(#REF!,"AAAAAC/W7YU=")</f>
        <v>#REF!</v>
      </c>
      <c r="EE38" t="e">
        <f>AND(#REF!,"AAAAAC/W7YY=")</f>
        <v>#REF!</v>
      </c>
      <c r="EF38" t="e">
        <f>AND(#REF!,"AAAAAC/W7Yc=")</f>
        <v>#REF!</v>
      </c>
      <c r="EG38" t="e">
        <f>AND(#REF!,"AAAAAC/W7Yg=")</f>
        <v>#REF!</v>
      </c>
      <c r="EH38" t="e">
        <f>AND(#REF!,"AAAAAC/W7Yk=")</f>
        <v>#REF!</v>
      </c>
      <c r="EI38" t="e">
        <f>AND(#REF!,"AAAAAC/W7Yo=")</f>
        <v>#REF!</v>
      </c>
      <c r="EJ38" t="e">
        <f>AND(#REF!,"AAAAAC/W7Ys=")</f>
        <v>#REF!</v>
      </c>
      <c r="EK38" t="e">
        <f>AND(#REF!,"AAAAAC/W7Yw=")</f>
        <v>#REF!</v>
      </c>
      <c r="EL38" t="e">
        <f>AND(#REF!,"AAAAAC/W7Y0=")</f>
        <v>#REF!</v>
      </c>
      <c r="EM38" t="e">
        <f>AND(#REF!,"AAAAAC/W7Y4=")</f>
        <v>#REF!</v>
      </c>
      <c r="EN38" t="e">
        <f>AND(#REF!,"AAAAAC/W7Y8=")</f>
        <v>#REF!</v>
      </c>
      <c r="EO38" t="e">
        <f>AND(#REF!,"AAAAAC/W7ZA=")</f>
        <v>#REF!</v>
      </c>
      <c r="EP38" t="e">
        <f>AND(#REF!,"AAAAAC/W7ZE=")</f>
        <v>#REF!</v>
      </c>
      <c r="EQ38" t="e">
        <f>AND(#REF!,"AAAAAC/W7ZI=")</f>
        <v>#REF!</v>
      </c>
      <c r="ER38" t="e">
        <f>AND(#REF!,"AAAAAC/W7ZM=")</f>
        <v>#REF!</v>
      </c>
      <c r="ES38" t="e">
        <f>AND(#REF!,"AAAAAC/W7ZQ=")</f>
        <v>#REF!</v>
      </c>
      <c r="ET38" t="e">
        <f>IF(#REF!,"AAAAAC/W7ZU=",0)</f>
        <v>#REF!</v>
      </c>
      <c r="EU38" t="e">
        <f>AND(#REF!,"AAAAAC/W7ZY=")</f>
        <v>#REF!</v>
      </c>
      <c r="EV38" t="e">
        <f>AND(#REF!,"AAAAAC/W7Zc=")</f>
        <v>#REF!</v>
      </c>
      <c r="EW38" t="e">
        <f>AND(#REF!,"AAAAAC/W7Zg=")</f>
        <v>#REF!</v>
      </c>
      <c r="EX38" t="e">
        <f>AND(#REF!,"AAAAAC/W7Zk=")</f>
        <v>#REF!</v>
      </c>
      <c r="EY38" t="e">
        <f>AND(#REF!,"AAAAAC/W7Zo=")</f>
        <v>#REF!</v>
      </c>
      <c r="EZ38" t="e">
        <f>AND(#REF!,"AAAAAC/W7Zs=")</f>
        <v>#REF!</v>
      </c>
      <c r="FA38" t="e">
        <f>AND(#REF!,"AAAAAC/W7Zw=")</f>
        <v>#REF!</v>
      </c>
      <c r="FB38" t="e">
        <f>AND(#REF!,"AAAAAC/W7Z0=")</f>
        <v>#REF!</v>
      </c>
      <c r="FC38" t="e">
        <f>AND(#REF!,"AAAAAC/W7Z4=")</f>
        <v>#REF!</v>
      </c>
      <c r="FD38" t="e">
        <f>AND(#REF!,"AAAAAC/W7Z8=")</f>
        <v>#REF!</v>
      </c>
      <c r="FE38" t="e">
        <f>AND(#REF!,"AAAAAC/W7aA=")</f>
        <v>#REF!</v>
      </c>
      <c r="FF38" t="e">
        <f>AND(#REF!,"AAAAAC/W7aE=")</f>
        <v>#REF!</v>
      </c>
      <c r="FG38" t="e">
        <f>AND(#REF!,"AAAAAC/W7aI=")</f>
        <v>#REF!</v>
      </c>
      <c r="FH38" t="e">
        <f>AND(#REF!,"AAAAAC/W7aM=")</f>
        <v>#REF!</v>
      </c>
      <c r="FI38" t="e">
        <f>AND(#REF!,"AAAAAC/W7aQ=")</f>
        <v>#REF!</v>
      </c>
      <c r="FJ38" t="e">
        <f>AND(#REF!,"AAAAAC/W7aU=")</f>
        <v>#REF!</v>
      </c>
      <c r="FK38" t="e">
        <f>AND(#REF!,"AAAAAC/W7aY=")</f>
        <v>#REF!</v>
      </c>
      <c r="FL38" t="e">
        <f>AND(#REF!,"AAAAAC/W7ac=")</f>
        <v>#REF!</v>
      </c>
      <c r="FM38" t="e">
        <f>AND(#REF!,"AAAAAC/W7ag=")</f>
        <v>#REF!</v>
      </c>
      <c r="FN38" t="e">
        <f>AND(#REF!,"AAAAAC/W7ak=")</f>
        <v>#REF!</v>
      </c>
      <c r="FO38" t="e">
        <f>AND(#REF!,"AAAAAC/W7ao=")</f>
        <v>#REF!</v>
      </c>
      <c r="FP38" t="e">
        <f>AND(#REF!,"AAAAAC/W7as=")</f>
        <v>#REF!</v>
      </c>
      <c r="FQ38" t="e">
        <f>AND(#REF!,"AAAAAC/W7aw=")</f>
        <v>#REF!</v>
      </c>
      <c r="FR38" t="e">
        <f>IF(#REF!,"AAAAAC/W7a0=",0)</f>
        <v>#REF!</v>
      </c>
      <c r="FS38" t="e">
        <f>AND(#REF!,"AAAAAC/W7a4=")</f>
        <v>#REF!</v>
      </c>
      <c r="FT38" t="e">
        <f>AND(#REF!,"AAAAAC/W7a8=")</f>
        <v>#REF!</v>
      </c>
      <c r="FU38" t="e">
        <f>AND(#REF!,"AAAAAC/W7bA=")</f>
        <v>#REF!</v>
      </c>
      <c r="FV38" t="e">
        <f>AND(#REF!,"AAAAAC/W7bE=")</f>
        <v>#REF!</v>
      </c>
      <c r="FW38" t="e">
        <f>AND(#REF!,"AAAAAC/W7bI=")</f>
        <v>#REF!</v>
      </c>
      <c r="FX38" t="e">
        <f>AND(#REF!,"AAAAAC/W7bM=")</f>
        <v>#REF!</v>
      </c>
      <c r="FY38" t="e">
        <f>AND(#REF!,"AAAAAC/W7bQ=")</f>
        <v>#REF!</v>
      </c>
      <c r="FZ38" t="e">
        <f>AND(#REF!,"AAAAAC/W7bU=")</f>
        <v>#REF!</v>
      </c>
      <c r="GA38" t="e">
        <f>AND(#REF!,"AAAAAC/W7bY=")</f>
        <v>#REF!</v>
      </c>
      <c r="GB38" t="e">
        <f>AND(#REF!,"AAAAAC/W7bc=")</f>
        <v>#REF!</v>
      </c>
      <c r="GC38" t="e">
        <f>AND(#REF!,"AAAAAC/W7bg=")</f>
        <v>#REF!</v>
      </c>
      <c r="GD38" t="e">
        <f>AND(#REF!,"AAAAAC/W7bk=")</f>
        <v>#REF!</v>
      </c>
      <c r="GE38" t="e">
        <f>AND(#REF!,"AAAAAC/W7bo=")</f>
        <v>#REF!</v>
      </c>
      <c r="GF38" t="e">
        <f>AND(#REF!,"AAAAAC/W7bs=")</f>
        <v>#REF!</v>
      </c>
      <c r="GG38" t="e">
        <f>AND(#REF!,"AAAAAC/W7bw=")</f>
        <v>#REF!</v>
      </c>
      <c r="GH38" t="e">
        <f>AND(#REF!,"AAAAAC/W7b0=")</f>
        <v>#REF!</v>
      </c>
      <c r="GI38" t="e">
        <f>AND(#REF!,"AAAAAC/W7b4=")</f>
        <v>#REF!</v>
      </c>
      <c r="GJ38" t="e">
        <f>AND(#REF!,"AAAAAC/W7b8=")</f>
        <v>#REF!</v>
      </c>
      <c r="GK38" t="e">
        <f>AND(#REF!,"AAAAAC/W7cA=")</f>
        <v>#REF!</v>
      </c>
      <c r="GL38" t="e">
        <f>AND(#REF!,"AAAAAC/W7cE=")</f>
        <v>#REF!</v>
      </c>
      <c r="GM38" t="e">
        <f>AND(#REF!,"AAAAAC/W7cI=")</f>
        <v>#REF!</v>
      </c>
      <c r="GN38" t="e">
        <f>AND(#REF!,"AAAAAC/W7cM=")</f>
        <v>#REF!</v>
      </c>
      <c r="GO38" t="e">
        <f>AND(#REF!,"AAAAAC/W7cQ=")</f>
        <v>#REF!</v>
      </c>
      <c r="GP38" t="e">
        <f>IF(#REF!,"AAAAAC/W7cU=",0)</f>
        <v>#REF!</v>
      </c>
      <c r="GQ38" t="e">
        <f>AND(#REF!,"AAAAAC/W7cY=")</f>
        <v>#REF!</v>
      </c>
      <c r="GR38" t="e">
        <f>AND(#REF!,"AAAAAC/W7cc=")</f>
        <v>#REF!</v>
      </c>
      <c r="GS38" t="e">
        <f>AND(#REF!,"AAAAAC/W7cg=")</f>
        <v>#REF!</v>
      </c>
      <c r="GT38" t="e">
        <f>AND(#REF!,"AAAAAC/W7ck=")</f>
        <v>#REF!</v>
      </c>
      <c r="GU38" t="e">
        <f>AND(#REF!,"AAAAAC/W7co=")</f>
        <v>#REF!</v>
      </c>
      <c r="GV38" t="e">
        <f>AND(#REF!,"AAAAAC/W7cs=")</f>
        <v>#REF!</v>
      </c>
      <c r="GW38" t="e">
        <f>AND(#REF!,"AAAAAC/W7cw=")</f>
        <v>#REF!</v>
      </c>
      <c r="GX38" t="e">
        <f>AND(#REF!,"AAAAAC/W7c0=")</f>
        <v>#REF!</v>
      </c>
      <c r="GY38" t="e">
        <f>AND(#REF!,"AAAAAC/W7c4=")</f>
        <v>#REF!</v>
      </c>
      <c r="GZ38" t="e">
        <f>AND(#REF!,"AAAAAC/W7c8=")</f>
        <v>#REF!</v>
      </c>
      <c r="HA38" t="e">
        <f>AND(#REF!,"AAAAAC/W7dA=")</f>
        <v>#REF!</v>
      </c>
      <c r="HB38" t="e">
        <f>AND(#REF!,"AAAAAC/W7dE=")</f>
        <v>#REF!</v>
      </c>
      <c r="HC38" t="e">
        <f>AND(#REF!,"AAAAAC/W7dI=")</f>
        <v>#REF!</v>
      </c>
      <c r="HD38" t="e">
        <f>AND(#REF!,"AAAAAC/W7dM=")</f>
        <v>#REF!</v>
      </c>
      <c r="HE38" t="e">
        <f>AND(#REF!,"AAAAAC/W7dQ=")</f>
        <v>#REF!</v>
      </c>
      <c r="HF38" t="e">
        <f>AND(#REF!,"AAAAAC/W7dU=")</f>
        <v>#REF!</v>
      </c>
      <c r="HG38" t="e">
        <f>AND(#REF!,"AAAAAC/W7dY=")</f>
        <v>#REF!</v>
      </c>
      <c r="HH38" t="e">
        <f>AND(#REF!,"AAAAAC/W7dc=")</f>
        <v>#REF!</v>
      </c>
      <c r="HI38" t="e">
        <f>AND(#REF!,"AAAAAC/W7dg=")</f>
        <v>#REF!</v>
      </c>
      <c r="HJ38" t="e">
        <f>AND(#REF!,"AAAAAC/W7dk=")</f>
        <v>#REF!</v>
      </c>
      <c r="HK38" t="e">
        <f>AND(#REF!,"AAAAAC/W7do=")</f>
        <v>#REF!</v>
      </c>
      <c r="HL38" t="e">
        <f>AND(#REF!,"AAAAAC/W7ds=")</f>
        <v>#REF!</v>
      </c>
      <c r="HM38" t="e">
        <f>AND(#REF!,"AAAAAC/W7dw=")</f>
        <v>#REF!</v>
      </c>
      <c r="HN38" t="e">
        <f>IF(#REF!,"AAAAAC/W7d0=",0)</f>
        <v>#REF!</v>
      </c>
      <c r="HO38" t="e">
        <f>AND(#REF!,"AAAAAC/W7d4=")</f>
        <v>#REF!</v>
      </c>
      <c r="HP38" t="e">
        <f>AND(#REF!,"AAAAAC/W7d8=")</f>
        <v>#REF!</v>
      </c>
      <c r="HQ38" t="e">
        <f>AND(#REF!,"AAAAAC/W7eA=")</f>
        <v>#REF!</v>
      </c>
      <c r="HR38" t="e">
        <f>AND(#REF!,"AAAAAC/W7eE=")</f>
        <v>#REF!</v>
      </c>
      <c r="HS38" t="e">
        <f>AND(#REF!,"AAAAAC/W7eI=")</f>
        <v>#REF!</v>
      </c>
      <c r="HT38" t="e">
        <f>AND(#REF!,"AAAAAC/W7eM=")</f>
        <v>#REF!</v>
      </c>
      <c r="HU38" t="e">
        <f>AND(#REF!,"AAAAAC/W7eQ=")</f>
        <v>#REF!</v>
      </c>
      <c r="HV38" t="e">
        <f>AND(#REF!,"AAAAAC/W7eU=")</f>
        <v>#REF!</v>
      </c>
      <c r="HW38" t="e">
        <f>AND(#REF!,"AAAAAC/W7eY=")</f>
        <v>#REF!</v>
      </c>
      <c r="HX38" t="e">
        <f>AND(#REF!,"AAAAAC/W7ec=")</f>
        <v>#REF!</v>
      </c>
      <c r="HY38" t="e">
        <f>AND(#REF!,"AAAAAC/W7eg=")</f>
        <v>#REF!</v>
      </c>
      <c r="HZ38" t="e">
        <f>AND(#REF!,"AAAAAC/W7ek=")</f>
        <v>#REF!</v>
      </c>
      <c r="IA38" t="e">
        <f>AND(#REF!,"AAAAAC/W7eo=")</f>
        <v>#REF!</v>
      </c>
      <c r="IB38" t="e">
        <f>AND(#REF!,"AAAAAC/W7es=")</f>
        <v>#REF!</v>
      </c>
      <c r="IC38" t="e">
        <f>AND(#REF!,"AAAAAC/W7ew=")</f>
        <v>#REF!</v>
      </c>
      <c r="ID38" t="e">
        <f>AND(#REF!,"AAAAAC/W7e0=")</f>
        <v>#REF!</v>
      </c>
      <c r="IE38" t="e">
        <f>AND(#REF!,"AAAAAC/W7e4=")</f>
        <v>#REF!</v>
      </c>
      <c r="IF38" t="e">
        <f>AND(#REF!,"AAAAAC/W7e8=")</f>
        <v>#REF!</v>
      </c>
      <c r="IG38" t="e">
        <f>AND(#REF!,"AAAAAC/W7fA=")</f>
        <v>#REF!</v>
      </c>
      <c r="IH38" t="e">
        <f>AND(#REF!,"AAAAAC/W7fE=")</f>
        <v>#REF!</v>
      </c>
      <c r="II38" t="e">
        <f>AND(#REF!,"AAAAAC/W7fI=")</f>
        <v>#REF!</v>
      </c>
      <c r="IJ38" t="e">
        <f>AND(#REF!,"AAAAAC/W7fM=")</f>
        <v>#REF!</v>
      </c>
      <c r="IK38" t="e">
        <f>AND(#REF!,"AAAAAC/W7fQ=")</f>
        <v>#REF!</v>
      </c>
      <c r="IL38" t="e">
        <f>IF(#REF!,"AAAAAC/W7fU=",0)</f>
        <v>#REF!</v>
      </c>
      <c r="IM38" t="e">
        <f>AND(#REF!,"AAAAAC/W7fY=")</f>
        <v>#REF!</v>
      </c>
      <c r="IN38" t="e">
        <f>AND(#REF!,"AAAAAC/W7fc=")</f>
        <v>#REF!</v>
      </c>
      <c r="IO38" t="e">
        <f>AND(#REF!,"AAAAAC/W7fg=")</f>
        <v>#REF!</v>
      </c>
      <c r="IP38" t="e">
        <f>AND(#REF!,"AAAAAC/W7fk=")</f>
        <v>#REF!</v>
      </c>
      <c r="IQ38" t="e">
        <f>AND(#REF!,"AAAAAC/W7fo=")</f>
        <v>#REF!</v>
      </c>
      <c r="IR38" t="e">
        <f>AND(#REF!,"AAAAAC/W7fs=")</f>
        <v>#REF!</v>
      </c>
      <c r="IS38" t="e">
        <f>AND(#REF!,"AAAAAC/W7fw=")</f>
        <v>#REF!</v>
      </c>
      <c r="IT38" t="e">
        <f>AND(#REF!,"AAAAAC/W7f0=")</f>
        <v>#REF!</v>
      </c>
      <c r="IU38" t="e">
        <f>AND(#REF!,"AAAAAC/W7f4=")</f>
        <v>#REF!</v>
      </c>
      <c r="IV38" t="e">
        <f>AND(#REF!,"AAAAAC/W7f8=")</f>
        <v>#REF!</v>
      </c>
    </row>
    <row r="39" spans="1:256" x14ac:dyDescent="0.25">
      <c r="A39" t="e">
        <f>AND(#REF!,"AAAAAG/dfAA=")</f>
        <v>#REF!</v>
      </c>
      <c r="B39" t="e">
        <f>AND(#REF!,"AAAAAG/dfAE=")</f>
        <v>#REF!</v>
      </c>
      <c r="C39" t="e">
        <f>AND(#REF!,"AAAAAG/dfAI=")</f>
        <v>#REF!</v>
      </c>
      <c r="D39" t="e">
        <f>AND(#REF!,"AAAAAG/dfAM=")</f>
        <v>#REF!</v>
      </c>
      <c r="E39" t="e">
        <f>AND(#REF!,"AAAAAG/dfAQ=")</f>
        <v>#REF!</v>
      </c>
      <c r="F39" t="e">
        <f>AND(#REF!,"AAAAAG/dfAU=")</f>
        <v>#REF!</v>
      </c>
      <c r="G39" t="e">
        <f>AND(#REF!,"AAAAAG/dfAY=")</f>
        <v>#REF!</v>
      </c>
      <c r="H39" t="e">
        <f>AND(#REF!,"AAAAAG/dfAc=")</f>
        <v>#REF!</v>
      </c>
      <c r="I39" t="e">
        <f>AND(#REF!,"AAAAAG/dfAg=")</f>
        <v>#REF!</v>
      </c>
      <c r="J39" t="e">
        <f>AND(#REF!,"AAAAAG/dfAk=")</f>
        <v>#REF!</v>
      </c>
      <c r="K39" t="e">
        <f>AND(#REF!,"AAAAAG/dfAo=")</f>
        <v>#REF!</v>
      </c>
      <c r="L39" t="e">
        <f>AND(#REF!,"AAAAAG/dfAs=")</f>
        <v>#REF!</v>
      </c>
      <c r="M39" t="e">
        <f>AND(#REF!,"AAAAAG/dfAw=")</f>
        <v>#REF!</v>
      </c>
      <c r="N39" t="e">
        <f>IF(#REF!,"AAAAAG/dfA0=",0)</f>
        <v>#REF!</v>
      </c>
      <c r="O39" t="e">
        <f>AND(#REF!,"AAAAAG/dfA4=")</f>
        <v>#REF!</v>
      </c>
      <c r="P39" t="e">
        <f>AND(#REF!,"AAAAAG/dfA8=")</f>
        <v>#REF!</v>
      </c>
      <c r="Q39" t="e">
        <f>AND(#REF!,"AAAAAG/dfBA=")</f>
        <v>#REF!</v>
      </c>
      <c r="R39" t="e">
        <f>AND(#REF!,"AAAAAG/dfBE=")</f>
        <v>#REF!</v>
      </c>
      <c r="S39" t="e">
        <f>AND(#REF!,"AAAAAG/dfBI=")</f>
        <v>#REF!</v>
      </c>
      <c r="T39" t="e">
        <f>AND(#REF!,"AAAAAG/dfBM=")</f>
        <v>#REF!</v>
      </c>
      <c r="U39" t="e">
        <f>AND(#REF!,"AAAAAG/dfBQ=")</f>
        <v>#REF!</v>
      </c>
      <c r="V39" t="e">
        <f>AND(#REF!,"AAAAAG/dfBU=")</f>
        <v>#REF!</v>
      </c>
      <c r="W39" t="e">
        <f>AND(#REF!,"AAAAAG/dfBY=")</f>
        <v>#REF!</v>
      </c>
      <c r="X39" t="e">
        <f>AND(#REF!,"AAAAAG/dfBc=")</f>
        <v>#REF!</v>
      </c>
      <c r="Y39" t="e">
        <f>AND(#REF!,"AAAAAG/dfBg=")</f>
        <v>#REF!</v>
      </c>
      <c r="Z39" t="e">
        <f>AND(#REF!,"AAAAAG/dfBk=")</f>
        <v>#REF!</v>
      </c>
      <c r="AA39" t="e">
        <f>AND(#REF!,"AAAAAG/dfBo=")</f>
        <v>#REF!</v>
      </c>
      <c r="AB39" t="e">
        <f>AND(#REF!,"AAAAAG/dfBs=")</f>
        <v>#REF!</v>
      </c>
      <c r="AC39" t="e">
        <f>AND(#REF!,"AAAAAG/dfBw=")</f>
        <v>#REF!</v>
      </c>
      <c r="AD39" t="e">
        <f>AND(#REF!,"AAAAAG/dfB0=")</f>
        <v>#REF!</v>
      </c>
      <c r="AE39" t="e">
        <f>AND(#REF!,"AAAAAG/dfB4=")</f>
        <v>#REF!</v>
      </c>
      <c r="AF39" t="e">
        <f>AND(#REF!,"AAAAAG/dfB8=")</f>
        <v>#REF!</v>
      </c>
      <c r="AG39" t="e">
        <f>AND(#REF!,"AAAAAG/dfCA=")</f>
        <v>#REF!</v>
      </c>
      <c r="AH39" t="e">
        <f>AND(#REF!,"AAAAAG/dfCE=")</f>
        <v>#REF!</v>
      </c>
      <c r="AI39" t="e">
        <f>AND(#REF!,"AAAAAG/dfCI=")</f>
        <v>#REF!</v>
      </c>
      <c r="AJ39" t="e">
        <f>AND(#REF!,"AAAAAG/dfCM=")</f>
        <v>#REF!</v>
      </c>
      <c r="AK39" t="e">
        <f>AND(#REF!,"AAAAAG/dfCQ=")</f>
        <v>#REF!</v>
      </c>
      <c r="AL39" t="e">
        <f>IF(#REF!,"AAAAAG/dfCU=",0)</f>
        <v>#REF!</v>
      </c>
      <c r="AM39" t="e">
        <f>AND(#REF!,"AAAAAG/dfCY=")</f>
        <v>#REF!</v>
      </c>
      <c r="AN39" t="e">
        <f>AND(#REF!,"AAAAAG/dfCc=")</f>
        <v>#REF!</v>
      </c>
      <c r="AO39" t="e">
        <f>AND(#REF!,"AAAAAG/dfCg=")</f>
        <v>#REF!</v>
      </c>
      <c r="AP39" t="e">
        <f>AND(#REF!,"AAAAAG/dfCk=")</f>
        <v>#REF!</v>
      </c>
      <c r="AQ39" t="e">
        <f>AND(#REF!,"AAAAAG/dfCo=")</f>
        <v>#REF!</v>
      </c>
      <c r="AR39" t="e">
        <f>AND(#REF!,"AAAAAG/dfCs=")</f>
        <v>#REF!</v>
      </c>
      <c r="AS39" t="e">
        <f>AND(#REF!,"AAAAAG/dfCw=")</f>
        <v>#REF!</v>
      </c>
      <c r="AT39" t="e">
        <f>AND(#REF!,"AAAAAG/dfC0=")</f>
        <v>#REF!</v>
      </c>
      <c r="AU39" t="e">
        <f>AND(#REF!,"AAAAAG/dfC4=")</f>
        <v>#REF!</v>
      </c>
      <c r="AV39" t="e">
        <f>AND(#REF!,"AAAAAG/dfC8=")</f>
        <v>#REF!</v>
      </c>
      <c r="AW39" t="e">
        <f>AND(#REF!,"AAAAAG/dfDA=")</f>
        <v>#REF!</v>
      </c>
      <c r="AX39" t="e">
        <f>AND(#REF!,"AAAAAG/dfDE=")</f>
        <v>#REF!</v>
      </c>
      <c r="AY39" t="e">
        <f>AND(#REF!,"AAAAAG/dfDI=")</f>
        <v>#REF!</v>
      </c>
      <c r="AZ39" t="e">
        <f>AND(#REF!,"AAAAAG/dfDM=")</f>
        <v>#REF!</v>
      </c>
      <c r="BA39" t="e">
        <f>AND(#REF!,"AAAAAG/dfDQ=")</f>
        <v>#REF!</v>
      </c>
      <c r="BB39" t="e">
        <f>AND(#REF!,"AAAAAG/dfDU=")</f>
        <v>#REF!</v>
      </c>
      <c r="BC39" t="e">
        <f>AND(#REF!,"AAAAAG/dfDY=")</f>
        <v>#REF!</v>
      </c>
      <c r="BD39" t="e">
        <f>AND(#REF!,"AAAAAG/dfDc=")</f>
        <v>#REF!</v>
      </c>
      <c r="BE39" t="e">
        <f>AND(#REF!,"AAAAAG/dfDg=")</f>
        <v>#REF!</v>
      </c>
      <c r="BF39" t="e">
        <f>AND(#REF!,"AAAAAG/dfDk=")</f>
        <v>#REF!</v>
      </c>
      <c r="BG39" t="e">
        <f>AND(#REF!,"AAAAAG/dfDo=")</f>
        <v>#REF!</v>
      </c>
      <c r="BH39" t="e">
        <f>AND(#REF!,"AAAAAG/dfDs=")</f>
        <v>#REF!</v>
      </c>
      <c r="BI39" t="e">
        <f>AND(#REF!,"AAAAAG/dfDw=")</f>
        <v>#REF!</v>
      </c>
      <c r="BJ39" t="e">
        <f>IF(#REF!,"AAAAAG/dfD0=",0)</f>
        <v>#REF!</v>
      </c>
      <c r="BK39" t="e">
        <f>AND(#REF!,"AAAAAG/dfD4=")</f>
        <v>#REF!</v>
      </c>
      <c r="BL39" t="e">
        <f>AND(#REF!,"AAAAAG/dfD8=")</f>
        <v>#REF!</v>
      </c>
      <c r="BM39" t="e">
        <f>AND(#REF!,"AAAAAG/dfEA=")</f>
        <v>#REF!</v>
      </c>
      <c r="BN39" t="e">
        <f>AND(#REF!,"AAAAAG/dfEE=")</f>
        <v>#REF!</v>
      </c>
      <c r="BO39" t="e">
        <f>AND(#REF!,"AAAAAG/dfEI=")</f>
        <v>#REF!</v>
      </c>
      <c r="BP39" t="e">
        <f>AND(#REF!,"AAAAAG/dfEM=")</f>
        <v>#REF!</v>
      </c>
      <c r="BQ39" t="e">
        <f>AND(#REF!,"AAAAAG/dfEQ=")</f>
        <v>#REF!</v>
      </c>
      <c r="BR39" t="e">
        <f>AND(#REF!,"AAAAAG/dfEU=")</f>
        <v>#REF!</v>
      </c>
      <c r="BS39" t="e">
        <f>AND(#REF!,"AAAAAG/dfEY=")</f>
        <v>#REF!</v>
      </c>
      <c r="BT39" t="e">
        <f>AND(#REF!,"AAAAAG/dfEc=")</f>
        <v>#REF!</v>
      </c>
      <c r="BU39" t="e">
        <f>AND(#REF!,"AAAAAG/dfEg=")</f>
        <v>#REF!</v>
      </c>
      <c r="BV39" t="e">
        <f>AND(#REF!,"AAAAAG/dfEk=")</f>
        <v>#REF!</v>
      </c>
      <c r="BW39" t="e">
        <f>AND(#REF!,"AAAAAG/dfEo=")</f>
        <v>#REF!</v>
      </c>
      <c r="BX39" t="e">
        <f>AND(#REF!,"AAAAAG/dfEs=")</f>
        <v>#REF!</v>
      </c>
      <c r="BY39" t="e">
        <f>AND(#REF!,"AAAAAG/dfEw=")</f>
        <v>#REF!</v>
      </c>
      <c r="BZ39" t="e">
        <f>AND(#REF!,"AAAAAG/dfE0=")</f>
        <v>#REF!</v>
      </c>
      <c r="CA39" t="e">
        <f>AND(#REF!,"AAAAAG/dfE4=")</f>
        <v>#REF!</v>
      </c>
      <c r="CB39" t="e">
        <f>AND(#REF!,"AAAAAG/dfE8=")</f>
        <v>#REF!</v>
      </c>
      <c r="CC39" t="e">
        <f>AND(#REF!,"AAAAAG/dfFA=")</f>
        <v>#REF!</v>
      </c>
      <c r="CD39" t="e">
        <f>AND(#REF!,"AAAAAG/dfFE=")</f>
        <v>#REF!</v>
      </c>
      <c r="CE39" t="e">
        <f>AND(#REF!,"AAAAAG/dfFI=")</f>
        <v>#REF!</v>
      </c>
      <c r="CF39" t="e">
        <f>AND(#REF!,"AAAAAG/dfFM=")</f>
        <v>#REF!</v>
      </c>
      <c r="CG39" t="e">
        <f>AND(#REF!,"AAAAAG/dfFQ=")</f>
        <v>#REF!</v>
      </c>
      <c r="CH39" t="e">
        <f>IF(#REF!,"AAAAAG/dfFU=",0)</f>
        <v>#REF!</v>
      </c>
      <c r="CI39" t="e">
        <f>AND(#REF!,"AAAAAG/dfFY=")</f>
        <v>#REF!</v>
      </c>
      <c r="CJ39" t="e">
        <f>AND(#REF!,"AAAAAG/dfFc=")</f>
        <v>#REF!</v>
      </c>
      <c r="CK39" t="e">
        <f>AND(#REF!,"AAAAAG/dfFg=")</f>
        <v>#REF!</v>
      </c>
      <c r="CL39" t="e">
        <f>AND(#REF!,"AAAAAG/dfFk=")</f>
        <v>#REF!</v>
      </c>
      <c r="CM39" t="e">
        <f>AND(#REF!,"AAAAAG/dfFo=")</f>
        <v>#REF!</v>
      </c>
      <c r="CN39" t="e">
        <f>AND(#REF!,"AAAAAG/dfFs=")</f>
        <v>#REF!</v>
      </c>
      <c r="CO39" t="e">
        <f>AND(#REF!,"AAAAAG/dfFw=")</f>
        <v>#REF!</v>
      </c>
      <c r="CP39" t="e">
        <f>AND(#REF!,"AAAAAG/dfF0=")</f>
        <v>#REF!</v>
      </c>
      <c r="CQ39" t="e">
        <f>AND(#REF!,"AAAAAG/dfF4=")</f>
        <v>#REF!</v>
      </c>
      <c r="CR39" t="e">
        <f>AND(#REF!,"AAAAAG/dfF8=")</f>
        <v>#REF!</v>
      </c>
      <c r="CS39" t="e">
        <f>AND(#REF!,"AAAAAG/dfGA=")</f>
        <v>#REF!</v>
      </c>
      <c r="CT39" t="e">
        <f>AND(#REF!,"AAAAAG/dfGE=")</f>
        <v>#REF!</v>
      </c>
      <c r="CU39" t="e">
        <f>AND(#REF!,"AAAAAG/dfGI=")</f>
        <v>#REF!</v>
      </c>
      <c r="CV39" t="e">
        <f>AND(#REF!,"AAAAAG/dfGM=")</f>
        <v>#REF!</v>
      </c>
      <c r="CW39" t="e">
        <f>AND(#REF!,"AAAAAG/dfGQ=")</f>
        <v>#REF!</v>
      </c>
      <c r="CX39" t="e">
        <f>AND(#REF!,"AAAAAG/dfGU=")</f>
        <v>#REF!</v>
      </c>
      <c r="CY39" t="e">
        <f>AND(#REF!,"AAAAAG/dfGY=")</f>
        <v>#REF!</v>
      </c>
      <c r="CZ39" t="e">
        <f>AND(#REF!,"AAAAAG/dfGc=")</f>
        <v>#REF!</v>
      </c>
      <c r="DA39" t="e">
        <f>AND(#REF!,"AAAAAG/dfGg=")</f>
        <v>#REF!</v>
      </c>
      <c r="DB39" t="e">
        <f>AND(#REF!,"AAAAAG/dfGk=")</f>
        <v>#REF!</v>
      </c>
      <c r="DC39" t="e">
        <f>AND(#REF!,"AAAAAG/dfGo=")</f>
        <v>#REF!</v>
      </c>
      <c r="DD39" t="e">
        <f>AND(#REF!,"AAAAAG/dfGs=")</f>
        <v>#REF!</v>
      </c>
      <c r="DE39" t="e">
        <f>AND(#REF!,"AAAAAG/dfGw=")</f>
        <v>#REF!</v>
      </c>
      <c r="DF39" t="e">
        <f>IF(#REF!,"AAAAAG/dfG0=",0)</f>
        <v>#REF!</v>
      </c>
      <c r="DG39" t="e">
        <f>AND(#REF!,"AAAAAG/dfG4=")</f>
        <v>#REF!</v>
      </c>
      <c r="DH39" t="e">
        <f>AND(#REF!,"AAAAAG/dfG8=")</f>
        <v>#REF!</v>
      </c>
      <c r="DI39" t="e">
        <f>AND(#REF!,"AAAAAG/dfHA=")</f>
        <v>#REF!</v>
      </c>
      <c r="DJ39" t="e">
        <f>AND(#REF!,"AAAAAG/dfHE=")</f>
        <v>#REF!</v>
      </c>
      <c r="DK39" t="e">
        <f>AND(#REF!,"AAAAAG/dfHI=")</f>
        <v>#REF!</v>
      </c>
      <c r="DL39" t="e">
        <f>AND(#REF!,"AAAAAG/dfHM=")</f>
        <v>#REF!</v>
      </c>
      <c r="DM39" t="e">
        <f>AND(#REF!,"AAAAAG/dfHQ=")</f>
        <v>#REF!</v>
      </c>
      <c r="DN39" t="e">
        <f>AND(#REF!,"AAAAAG/dfHU=")</f>
        <v>#REF!</v>
      </c>
      <c r="DO39" t="e">
        <f>AND(#REF!,"AAAAAG/dfHY=")</f>
        <v>#REF!</v>
      </c>
      <c r="DP39" t="e">
        <f>AND(#REF!,"AAAAAG/dfHc=")</f>
        <v>#REF!</v>
      </c>
      <c r="DQ39" t="e">
        <f>AND(#REF!,"AAAAAG/dfHg=")</f>
        <v>#REF!</v>
      </c>
      <c r="DR39" t="e">
        <f>AND(#REF!,"AAAAAG/dfHk=")</f>
        <v>#REF!</v>
      </c>
      <c r="DS39" t="e">
        <f>AND(#REF!,"AAAAAG/dfHo=")</f>
        <v>#REF!</v>
      </c>
      <c r="DT39" t="e">
        <f>AND(#REF!,"AAAAAG/dfHs=")</f>
        <v>#REF!</v>
      </c>
      <c r="DU39" t="e">
        <f>AND(#REF!,"AAAAAG/dfHw=")</f>
        <v>#REF!</v>
      </c>
      <c r="DV39" t="e">
        <f>AND(#REF!,"AAAAAG/dfH0=")</f>
        <v>#REF!</v>
      </c>
      <c r="DW39" t="e">
        <f>AND(#REF!,"AAAAAG/dfH4=")</f>
        <v>#REF!</v>
      </c>
      <c r="DX39" t="e">
        <f>AND(#REF!,"AAAAAG/dfH8=")</f>
        <v>#REF!</v>
      </c>
      <c r="DY39" t="e">
        <f>AND(#REF!,"AAAAAG/dfIA=")</f>
        <v>#REF!</v>
      </c>
      <c r="DZ39" t="e">
        <f>AND(#REF!,"AAAAAG/dfIE=")</f>
        <v>#REF!</v>
      </c>
      <c r="EA39" t="e">
        <f>AND(#REF!,"AAAAAG/dfII=")</f>
        <v>#REF!</v>
      </c>
      <c r="EB39" t="e">
        <f>AND(#REF!,"AAAAAG/dfIM=")</f>
        <v>#REF!</v>
      </c>
      <c r="EC39" t="e">
        <f>AND(#REF!,"AAAAAG/dfIQ=")</f>
        <v>#REF!</v>
      </c>
      <c r="ED39" t="e">
        <f>IF(#REF!,"AAAAAG/dfIU=",0)</f>
        <v>#REF!</v>
      </c>
      <c r="EE39" t="e">
        <f>AND(#REF!,"AAAAAG/dfIY=")</f>
        <v>#REF!</v>
      </c>
      <c r="EF39" t="e">
        <f>AND(#REF!,"AAAAAG/dfIc=")</f>
        <v>#REF!</v>
      </c>
      <c r="EG39" t="e">
        <f>AND(#REF!,"AAAAAG/dfIg=")</f>
        <v>#REF!</v>
      </c>
      <c r="EH39" t="e">
        <f>AND(#REF!,"AAAAAG/dfIk=")</f>
        <v>#REF!</v>
      </c>
      <c r="EI39" t="e">
        <f>AND(#REF!,"AAAAAG/dfIo=")</f>
        <v>#REF!</v>
      </c>
      <c r="EJ39" t="e">
        <f>AND(#REF!,"AAAAAG/dfIs=")</f>
        <v>#REF!</v>
      </c>
      <c r="EK39" t="e">
        <f>AND(#REF!,"AAAAAG/dfIw=")</f>
        <v>#REF!</v>
      </c>
      <c r="EL39" t="e">
        <f>AND(#REF!,"AAAAAG/dfI0=")</f>
        <v>#REF!</v>
      </c>
      <c r="EM39" t="e">
        <f>AND(#REF!,"AAAAAG/dfI4=")</f>
        <v>#REF!</v>
      </c>
      <c r="EN39" t="e">
        <f>AND(#REF!,"AAAAAG/dfI8=")</f>
        <v>#REF!</v>
      </c>
      <c r="EO39" t="e">
        <f>AND(#REF!,"AAAAAG/dfJA=")</f>
        <v>#REF!</v>
      </c>
      <c r="EP39" t="e">
        <f>AND(#REF!,"AAAAAG/dfJE=")</f>
        <v>#REF!</v>
      </c>
      <c r="EQ39" t="e">
        <f>AND(#REF!,"AAAAAG/dfJI=")</f>
        <v>#REF!</v>
      </c>
      <c r="ER39" t="e">
        <f>AND(#REF!,"AAAAAG/dfJM=")</f>
        <v>#REF!</v>
      </c>
      <c r="ES39" t="e">
        <f>AND(#REF!,"AAAAAG/dfJQ=")</f>
        <v>#REF!</v>
      </c>
      <c r="ET39" t="e">
        <f>AND(#REF!,"AAAAAG/dfJU=")</f>
        <v>#REF!</v>
      </c>
      <c r="EU39" t="e">
        <f>AND(#REF!,"AAAAAG/dfJY=")</f>
        <v>#REF!</v>
      </c>
      <c r="EV39" t="e">
        <f>AND(#REF!,"AAAAAG/dfJc=")</f>
        <v>#REF!</v>
      </c>
      <c r="EW39" t="e">
        <f>AND(#REF!,"AAAAAG/dfJg=")</f>
        <v>#REF!</v>
      </c>
      <c r="EX39" t="e">
        <f>AND(#REF!,"AAAAAG/dfJk=")</f>
        <v>#REF!</v>
      </c>
      <c r="EY39" t="e">
        <f>AND(#REF!,"AAAAAG/dfJo=")</f>
        <v>#REF!</v>
      </c>
      <c r="EZ39" t="e">
        <f>AND(#REF!,"AAAAAG/dfJs=")</f>
        <v>#REF!</v>
      </c>
      <c r="FA39" t="e">
        <f>AND(#REF!,"AAAAAG/dfJw=")</f>
        <v>#REF!</v>
      </c>
      <c r="FB39" t="e">
        <f>IF(#REF!,"AAAAAG/dfJ0=",0)</f>
        <v>#REF!</v>
      </c>
      <c r="FC39" t="e">
        <f>AND(#REF!,"AAAAAG/dfJ4=")</f>
        <v>#REF!</v>
      </c>
      <c r="FD39" t="e">
        <f>AND(#REF!,"AAAAAG/dfJ8=")</f>
        <v>#REF!</v>
      </c>
      <c r="FE39" t="e">
        <f>AND(#REF!,"AAAAAG/dfKA=")</f>
        <v>#REF!</v>
      </c>
      <c r="FF39" t="e">
        <f>AND(#REF!,"AAAAAG/dfKE=")</f>
        <v>#REF!</v>
      </c>
      <c r="FG39" t="e">
        <f>AND(#REF!,"AAAAAG/dfKI=")</f>
        <v>#REF!</v>
      </c>
      <c r="FH39" t="e">
        <f>AND(#REF!,"AAAAAG/dfKM=")</f>
        <v>#REF!</v>
      </c>
      <c r="FI39" t="e">
        <f>AND(#REF!,"AAAAAG/dfKQ=")</f>
        <v>#REF!</v>
      </c>
      <c r="FJ39" t="e">
        <f>AND(#REF!,"AAAAAG/dfKU=")</f>
        <v>#REF!</v>
      </c>
      <c r="FK39" t="e">
        <f>AND(#REF!,"AAAAAG/dfKY=")</f>
        <v>#REF!</v>
      </c>
      <c r="FL39" t="e">
        <f>AND(#REF!,"AAAAAG/dfKc=")</f>
        <v>#REF!</v>
      </c>
      <c r="FM39" t="e">
        <f>AND(#REF!,"AAAAAG/dfKg=")</f>
        <v>#REF!</v>
      </c>
      <c r="FN39" t="e">
        <f>AND(#REF!,"AAAAAG/dfKk=")</f>
        <v>#REF!</v>
      </c>
      <c r="FO39" t="e">
        <f>AND(#REF!,"AAAAAG/dfKo=")</f>
        <v>#REF!</v>
      </c>
      <c r="FP39" t="e">
        <f>AND(#REF!,"AAAAAG/dfKs=")</f>
        <v>#REF!</v>
      </c>
      <c r="FQ39" t="e">
        <f>AND(#REF!,"AAAAAG/dfKw=")</f>
        <v>#REF!</v>
      </c>
      <c r="FR39" t="e">
        <f>AND(#REF!,"AAAAAG/dfK0=")</f>
        <v>#REF!</v>
      </c>
      <c r="FS39" t="e">
        <f>AND(#REF!,"AAAAAG/dfK4=")</f>
        <v>#REF!</v>
      </c>
      <c r="FT39" t="e">
        <f>AND(#REF!,"AAAAAG/dfK8=")</f>
        <v>#REF!</v>
      </c>
      <c r="FU39" t="e">
        <f>AND(#REF!,"AAAAAG/dfLA=")</f>
        <v>#REF!</v>
      </c>
      <c r="FV39" t="e">
        <f>AND(#REF!,"AAAAAG/dfLE=")</f>
        <v>#REF!</v>
      </c>
      <c r="FW39" t="e">
        <f>AND(#REF!,"AAAAAG/dfLI=")</f>
        <v>#REF!</v>
      </c>
      <c r="FX39" t="e">
        <f>AND(#REF!,"AAAAAG/dfLM=")</f>
        <v>#REF!</v>
      </c>
      <c r="FY39" t="e">
        <f>AND(#REF!,"AAAAAG/dfLQ=")</f>
        <v>#REF!</v>
      </c>
      <c r="FZ39" t="e">
        <f>IF(#REF!,"AAAAAG/dfLU=",0)</f>
        <v>#REF!</v>
      </c>
      <c r="GA39" t="e">
        <f>AND(#REF!,"AAAAAG/dfLY=")</f>
        <v>#REF!</v>
      </c>
      <c r="GB39" t="e">
        <f>AND(#REF!,"AAAAAG/dfLc=")</f>
        <v>#REF!</v>
      </c>
      <c r="GC39" t="e">
        <f>AND(#REF!,"AAAAAG/dfLg=")</f>
        <v>#REF!</v>
      </c>
      <c r="GD39" t="e">
        <f>AND(#REF!,"AAAAAG/dfLk=")</f>
        <v>#REF!</v>
      </c>
      <c r="GE39" t="e">
        <f>AND(#REF!,"AAAAAG/dfLo=")</f>
        <v>#REF!</v>
      </c>
      <c r="GF39" t="e">
        <f>AND(#REF!,"AAAAAG/dfLs=")</f>
        <v>#REF!</v>
      </c>
      <c r="GG39" t="e">
        <f>AND(#REF!,"AAAAAG/dfLw=")</f>
        <v>#REF!</v>
      </c>
      <c r="GH39" t="e">
        <f>AND(#REF!,"AAAAAG/dfL0=")</f>
        <v>#REF!</v>
      </c>
      <c r="GI39" t="e">
        <f>AND(#REF!,"AAAAAG/dfL4=")</f>
        <v>#REF!</v>
      </c>
      <c r="GJ39" t="e">
        <f>AND(#REF!,"AAAAAG/dfL8=")</f>
        <v>#REF!</v>
      </c>
      <c r="GK39" t="e">
        <f>AND(#REF!,"AAAAAG/dfMA=")</f>
        <v>#REF!</v>
      </c>
      <c r="GL39" t="e">
        <f>AND(#REF!,"AAAAAG/dfME=")</f>
        <v>#REF!</v>
      </c>
      <c r="GM39" t="e">
        <f>AND(#REF!,"AAAAAG/dfMI=")</f>
        <v>#REF!</v>
      </c>
      <c r="GN39" t="e">
        <f>AND(#REF!,"AAAAAG/dfMM=")</f>
        <v>#REF!</v>
      </c>
      <c r="GO39" t="e">
        <f>AND(#REF!,"AAAAAG/dfMQ=")</f>
        <v>#REF!</v>
      </c>
      <c r="GP39" t="e">
        <f>AND(#REF!,"AAAAAG/dfMU=")</f>
        <v>#REF!</v>
      </c>
      <c r="GQ39" t="e">
        <f>AND(#REF!,"AAAAAG/dfMY=")</f>
        <v>#REF!</v>
      </c>
      <c r="GR39" t="e">
        <f>AND(#REF!,"AAAAAG/dfMc=")</f>
        <v>#REF!</v>
      </c>
      <c r="GS39" t="e">
        <f>AND(#REF!,"AAAAAG/dfMg=")</f>
        <v>#REF!</v>
      </c>
      <c r="GT39" t="e">
        <f>AND(#REF!,"AAAAAG/dfMk=")</f>
        <v>#REF!</v>
      </c>
      <c r="GU39" t="e">
        <f>AND(#REF!,"AAAAAG/dfMo=")</f>
        <v>#REF!</v>
      </c>
      <c r="GV39" t="e">
        <f>AND(#REF!,"AAAAAG/dfMs=")</f>
        <v>#REF!</v>
      </c>
      <c r="GW39" t="e">
        <f>AND(#REF!,"AAAAAG/dfMw=")</f>
        <v>#REF!</v>
      </c>
      <c r="GX39" t="e">
        <f>IF(#REF!,"AAAAAG/dfM0=",0)</f>
        <v>#REF!</v>
      </c>
      <c r="GY39" t="e">
        <f>AND(#REF!,"AAAAAG/dfM4=")</f>
        <v>#REF!</v>
      </c>
      <c r="GZ39" t="e">
        <f>AND(#REF!,"AAAAAG/dfM8=")</f>
        <v>#REF!</v>
      </c>
      <c r="HA39" t="e">
        <f>AND(#REF!,"AAAAAG/dfNA=")</f>
        <v>#REF!</v>
      </c>
      <c r="HB39" t="e">
        <f>AND(#REF!,"AAAAAG/dfNE=")</f>
        <v>#REF!</v>
      </c>
      <c r="HC39" t="e">
        <f>AND(#REF!,"AAAAAG/dfNI=")</f>
        <v>#REF!</v>
      </c>
      <c r="HD39" t="e">
        <f>AND(#REF!,"AAAAAG/dfNM=")</f>
        <v>#REF!</v>
      </c>
      <c r="HE39" t="e">
        <f>AND(#REF!,"AAAAAG/dfNQ=")</f>
        <v>#REF!</v>
      </c>
      <c r="HF39" t="e">
        <f>AND(#REF!,"AAAAAG/dfNU=")</f>
        <v>#REF!</v>
      </c>
      <c r="HG39" t="e">
        <f>AND(#REF!,"AAAAAG/dfNY=")</f>
        <v>#REF!</v>
      </c>
      <c r="HH39" t="e">
        <f>AND(#REF!,"AAAAAG/dfNc=")</f>
        <v>#REF!</v>
      </c>
      <c r="HI39" t="e">
        <f>AND(#REF!,"AAAAAG/dfNg=")</f>
        <v>#REF!</v>
      </c>
      <c r="HJ39" t="e">
        <f>AND(#REF!,"AAAAAG/dfNk=")</f>
        <v>#REF!</v>
      </c>
      <c r="HK39" t="e">
        <f>AND(#REF!,"AAAAAG/dfNo=")</f>
        <v>#REF!</v>
      </c>
      <c r="HL39" t="e">
        <f>AND(#REF!,"AAAAAG/dfNs=")</f>
        <v>#REF!</v>
      </c>
      <c r="HM39" t="e">
        <f>AND(#REF!,"AAAAAG/dfNw=")</f>
        <v>#REF!</v>
      </c>
      <c r="HN39" t="e">
        <f>AND(#REF!,"AAAAAG/dfN0=")</f>
        <v>#REF!</v>
      </c>
      <c r="HO39" t="e">
        <f>AND(#REF!,"AAAAAG/dfN4=")</f>
        <v>#REF!</v>
      </c>
      <c r="HP39" t="e">
        <f>AND(#REF!,"AAAAAG/dfN8=")</f>
        <v>#REF!</v>
      </c>
      <c r="HQ39" t="e">
        <f>AND(#REF!,"AAAAAG/dfOA=")</f>
        <v>#REF!</v>
      </c>
      <c r="HR39" t="e">
        <f>AND(#REF!,"AAAAAG/dfOE=")</f>
        <v>#REF!</v>
      </c>
      <c r="HS39" t="e">
        <f>AND(#REF!,"AAAAAG/dfOI=")</f>
        <v>#REF!</v>
      </c>
      <c r="HT39" t="e">
        <f>AND(#REF!,"AAAAAG/dfOM=")</f>
        <v>#REF!</v>
      </c>
      <c r="HU39" t="e">
        <f>AND(#REF!,"AAAAAG/dfOQ=")</f>
        <v>#REF!</v>
      </c>
      <c r="HV39" t="e">
        <f>IF(#REF!,"AAAAAG/dfOU=",0)</f>
        <v>#REF!</v>
      </c>
      <c r="HW39" t="e">
        <f>AND(#REF!,"AAAAAG/dfOY=")</f>
        <v>#REF!</v>
      </c>
      <c r="HX39" t="e">
        <f>AND(#REF!,"AAAAAG/dfOc=")</f>
        <v>#REF!</v>
      </c>
      <c r="HY39" t="e">
        <f>AND(#REF!,"AAAAAG/dfOg=")</f>
        <v>#REF!</v>
      </c>
      <c r="HZ39" t="e">
        <f>AND(#REF!,"AAAAAG/dfOk=")</f>
        <v>#REF!</v>
      </c>
      <c r="IA39" t="e">
        <f>AND(#REF!,"AAAAAG/dfOo=")</f>
        <v>#REF!</v>
      </c>
      <c r="IB39" t="e">
        <f>AND(#REF!,"AAAAAG/dfOs=")</f>
        <v>#REF!</v>
      </c>
      <c r="IC39" t="e">
        <f>AND(#REF!,"AAAAAG/dfOw=")</f>
        <v>#REF!</v>
      </c>
      <c r="ID39" t="e">
        <f>AND(#REF!,"AAAAAG/dfO0=")</f>
        <v>#REF!</v>
      </c>
      <c r="IE39" t="e">
        <f>AND(#REF!,"AAAAAG/dfO4=")</f>
        <v>#REF!</v>
      </c>
      <c r="IF39" t="e">
        <f>AND(#REF!,"AAAAAG/dfO8=")</f>
        <v>#REF!</v>
      </c>
      <c r="IG39" t="e">
        <f>AND(#REF!,"AAAAAG/dfPA=")</f>
        <v>#REF!</v>
      </c>
      <c r="IH39" t="e">
        <f>AND(#REF!,"AAAAAG/dfPE=")</f>
        <v>#REF!</v>
      </c>
      <c r="II39" t="e">
        <f>AND(#REF!,"AAAAAG/dfPI=")</f>
        <v>#REF!</v>
      </c>
      <c r="IJ39" t="e">
        <f>AND(#REF!,"AAAAAG/dfPM=")</f>
        <v>#REF!</v>
      </c>
      <c r="IK39" t="e">
        <f>AND(#REF!,"AAAAAG/dfPQ=")</f>
        <v>#REF!</v>
      </c>
      <c r="IL39" t="e">
        <f>AND(#REF!,"AAAAAG/dfPU=")</f>
        <v>#REF!</v>
      </c>
      <c r="IM39" t="e">
        <f>AND(#REF!,"AAAAAG/dfPY=")</f>
        <v>#REF!</v>
      </c>
      <c r="IN39" t="e">
        <f>AND(#REF!,"AAAAAG/dfPc=")</f>
        <v>#REF!</v>
      </c>
      <c r="IO39" t="e">
        <f>AND(#REF!,"AAAAAG/dfPg=")</f>
        <v>#REF!</v>
      </c>
      <c r="IP39" t="e">
        <f>AND(#REF!,"AAAAAG/dfPk=")</f>
        <v>#REF!</v>
      </c>
      <c r="IQ39" t="e">
        <f>AND(#REF!,"AAAAAG/dfPo=")</f>
        <v>#REF!</v>
      </c>
      <c r="IR39" t="e">
        <f>AND(#REF!,"AAAAAG/dfPs=")</f>
        <v>#REF!</v>
      </c>
      <c r="IS39" t="e">
        <f>AND(#REF!,"AAAAAG/dfPw=")</f>
        <v>#REF!</v>
      </c>
      <c r="IT39" t="e">
        <f>IF(#REF!,"AAAAAG/dfP0=",0)</f>
        <v>#REF!</v>
      </c>
      <c r="IU39" t="e">
        <f>AND(#REF!,"AAAAAG/dfP4=")</f>
        <v>#REF!</v>
      </c>
      <c r="IV39" t="e">
        <f>AND(#REF!,"AAAAAG/dfP8=")</f>
        <v>#REF!</v>
      </c>
    </row>
    <row r="40" spans="1:256" x14ac:dyDescent="0.25">
      <c r="A40" t="e">
        <f>AND(#REF!,"AAAAAFH3vgA=")</f>
        <v>#REF!</v>
      </c>
      <c r="B40" t="e">
        <f>AND(#REF!,"AAAAAFH3vgE=")</f>
        <v>#REF!</v>
      </c>
      <c r="C40" t="e">
        <f>AND(#REF!,"AAAAAFH3vgI=")</f>
        <v>#REF!</v>
      </c>
      <c r="D40" t="e">
        <f>AND(#REF!,"AAAAAFH3vgM=")</f>
        <v>#REF!</v>
      </c>
      <c r="E40" t="e">
        <f>AND(#REF!,"AAAAAFH3vgQ=")</f>
        <v>#REF!</v>
      </c>
      <c r="F40" t="e">
        <f>AND(#REF!,"AAAAAFH3vgU=")</f>
        <v>#REF!</v>
      </c>
      <c r="G40" t="e">
        <f>AND(#REF!,"AAAAAFH3vgY=")</f>
        <v>#REF!</v>
      </c>
      <c r="H40" t="e">
        <f>AND(#REF!,"AAAAAFH3vgc=")</f>
        <v>#REF!</v>
      </c>
      <c r="I40" t="e">
        <f>AND(#REF!,"AAAAAFH3vgg=")</f>
        <v>#REF!</v>
      </c>
      <c r="J40" t="e">
        <f>AND(#REF!,"AAAAAFH3vgk=")</f>
        <v>#REF!</v>
      </c>
      <c r="K40" t="e">
        <f>AND(#REF!,"AAAAAFH3vgo=")</f>
        <v>#REF!</v>
      </c>
      <c r="L40" t="e">
        <f>AND(#REF!,"AAAAAFH3vgs=")</f>
        <v>#REF!</v>
      </c>
      <c r="M40" t="e">
        <f>AND(#REF!,"AAAAAFH3vgw=")</f>
        <v>#REF!</v>
      </c>
      <c r="N40" t="e">
        <f>AND(#REF!,"AAAAAFH3vg0=")</f>
        <v>#REF!</v>
      </c>
      <c r="O40" t="e">
        <f>AND(#REF!,"AAAAAFH3vg4=")</f>
        <v>#REF!</v>
      </c>
      <c r="P40" t="e">
        <f>AND(#REF!,"AAAAAFH3vg8=")</f>
        <v>#REF!</v>
      </c>
      <c r="Q40" t="e">
        <f>AND(#REF!,"AAAAAFH3vhA=")</f>
        <v>#REF!</v>
      </c>
      <c r="R40" t="e">
        <f>AND(#REF!,"AAAAAFH3vhE=")</f>
        <v>#REF!</v>
      </c>
      <c r="S40" t="e">
        <f>AND(#REF!,"AAAAAFH3vhI=")</f>
        <v>#REF!</v>
      </c>
      <c r="T40" t="e">
        <f>AND(#REF!,"AAAAAFH3vhM=")</f>
        <v>#REF!</v>
      </c>
      <c r="U40" t="e">
        <f>AND(#REF!,"AAAAAFH3vhQ=")</f>
        <v>#REF!</v>
      </c>
      <c r="V40" t="e">
        <f>IF(#REF!,"AAAAAFH3vhU=",0)</f>
        <v>#REF!</v>
      </c>
      <c r="W40" t="e">
        <f>AND(#REF!,"AAAAAFH3vhY=")</f>
        <v>#REF!</v>
      </c>
      <c r="X40" t="e">
        <f>AND(#REF!,"AAAAAFH3vhc=")</f>
        <v>#REF!</v>
      </c>
      <c r="Y40" t="e">
        <f>AND(#REF!,"AAAAAFH3vhg=")</f>
        <v>#REF!</v>
      </c>
      <c r="Z40" t="e">
        <f>AND(#REF!,"AAAAAFH3vhk=")</f>
        <v>#REF!</v>
      </c>
      <c r="AA40" t="e">
        <f>AND(#REF!,"AAAAAFH3vho=")</f>
        <v>#REF!</v>
      </c>
      <c r="AB40" t="e">
        <f>AND(#REF!,"AAAAAFH3vhs=")</f>
        <v>#REF!</v>
      </c>
      <c r="AC40" t="e">
        <f>AND(#REF!,"AAAAAFH3vhw=")</f>
        <v>#REF!</v>
      </c>
      <c r="AD40" t="e">
        <f>AND(#REF!,"AAAAAFH3vh0=")</f>
        <v>#REF!</v>
      </c>
      <c r="AE40" t="e">
        <f>AND(#REF!,"AAAAAFH3vh4=")</f>
        <v>#REF!</v>
      </c>
      <c r="AF40" t="e">
        <f>AND(#REF!,"AAAAAFH3vh8=")</f>
        <v>#REF!</v>
      </c>
      <c r="AG40" t="e">
        <f>AND(#REF!,"AAAAAFH3viA=")</f>
        <v>#REF!</v>
      </c>
      <c r="AH40" t="e">
        <f>AND(#REF!,"AAAAAFH3viE=")</f>
        <v>#REF!</v>
      </c>
      <c r="AI40" t="e">
        <f>AND(#REF!,"AAAAAFH3viI=")</f>
        <v>#REF!</v>
      </c>
      <c r="AJ40" t="e">
        <f>AND(#REF!,"AAAAAFH3viM=")</f>
        <v>#REF!</v>
      </c>
      <c r="AK40" t="e">
        <f>AND(#REF!,"AAAAAFH3viQ=")</f>
        <v>#REF!</v>
      </c>
      <c r="AL40" t="e">
        <f>AND(#REF!,"AAAAAFH3viU=")</f>
        <v>#REF!</v>
      </c>
      <c r="AM40" t="e">
        <f>AND(#REF!,"AAAAAFH3viY=")</f>
        <v>#REF!</v>
      </c>
      <c r="AN40" t="e">
        <f>AND(#REF!,"AAAAAFH3vic=")</f>
        <v>#REF!</v>
      </c>
      <c r="AO40" t="e">
        <f>AND(#REF!,"AAAAAFH3vig=")</f>
        <v>#REF!</v>
      </c>
      <c r="AP40" t="e">
        <f>AND(#REF!,"AAAAAFH3vik=")</f>
        <v>#REF!</v>
      </c>
      <c r="AQ40" t="e">
        <f>AND(#REF!,"AAAAAFH3vio=")</f>
        <v>#REF!</v>
      </c>
      <c r="AR40" t="e">
        <f>AND(#REF!,"AAAAAFH3vis=")</f>
        <v>#REF!</v>
      </c>
      <c r="AS40" t="e">
        <f>AND(#REF!,"AAAAAFH3viw=")</f>
        <v>#REF!</v>
      </c>
      <c r="AT40" t="e">
        <f>IF(#REF!,"AAAAAFH3vi0=",0)</f>
        <v>#REF!</v>
      </c>
      <c r="AU40" t="e">
        <f>AND(#REF!,"AAAAAFH3vi4=")</f>
        <v>#REF!</v>
      </c>
      <c r="AV40" t="e">
        <f>AND(#REF!,"AAAAAFH3vi8=")</f>
        <v>#REF!</v>
      </c>
      <c r="AW40" t="e">
        <f>AND(#REF!,"AAAAAFH3vjA=")</f>
        <v>#REF!</v>
      </c>
      <c r="AX40" t="e">
        <f>AND(#REF!,"AAAAAFH3vjE=")</f>
        <v>#REF!</v>
      </c>
      <c r="AY40" t="e">
        <f>AND(#REF!,"AAAAAFH3vjI=")</f>
        <v>#REF!</v>
      </c>
      <c r="AZ40" t="e">
        <f>AND(#REF!,"AAAAAFH3vjM=")</f>
        <v>#REF!</v>
      </c>
      <c r="BA40" t="e">
        <f>AND(#REF!,"AAAAAFH3vjQ=")</f>
        <v>#REF!</v>
      </c>
      <c r="BB40" t="e">
        <f>AND(#REF!,"AAAAAFH3vjU=")</f>
        <v>#REF!</v>
      </c>
      <c r="BC40" t="e">
        <f>AND(#REF!,"AAAAAFH3vjY=")</f>
        <v>#REF!</v>
      </c>
      <c r="BD40" t="e">
        <f>AND(#REF!,"AAAAAFH3vjc=")</f>
        <v>#REF!</v>
      </c>
      <c r="BE40" t="e">
        <f>AND(#REF!,"AAAAAFH3vjg=")</f>
        <v>#REF!</v>
      </c>
      <c r="BF40" t="e">
        <f>AND(#REF!,"AAAAAFH3vjk=")</f>
        <v>#REF!</v>
      </c>
      <c r="BG40" t="e">
        <f>AND(#REF!,"AAAAAFH3vjo=")</f>
        <v>#REF!</v>
      </c>
      <c r="BH40" t="e">
        <f>AND(#REF!,"AAAAAFH3vjs=")</f>
        <v>#REF!</v>
      </c>
      <c r="BI40" t="e">
        <f>AND(#REF!,"AAAAAFH3vjw=")</f>
        <v>#REF!</v>
      </c>
      <c r="BJ40" t="e">
        <f>AND(#REF!,"AAAAAFH3vj0=")</f>
        <v>#REF!</v>
      </c>
      <c r="BK40" t="e">
        <f>AND(#REF!,"AAAAAFH3vj4=")</f>
        <v>#REF!</v>
      </c>
      <c r="BL40" t="e">
        <f>AND(#REF!,"AAAAAFH3vj8=")</f>
        <v>#REF!</v>
      </c>
      <c r="BM40" t="e">
        <f>AND(#REF!,"AAAAAFH3vkA=")</f>
        <v>#REF!</v>
      </c>
      <c r="BN40" t="e">
        <f>AND(#REF!,"AAAAAFH3vkE=")</f>
        <v>#REF!</v>
      </c>
      <c r="BO40" t="e">
        <f>AND(#REF!,"AAAAAFH3vkI=")</f>
        <v>#REF!</v>
      </c>
      <c r="BP40" t="e">
        <f>AND(#REF!,"AAAAAFH3vkM=")</f>
        <v>#REF!</v>
      </c>
      <c r="BQ40" t="e">
        <f>AND(#REF!,"AAAAAFH3vkQ=")</f>
        <v>#REF!</v>
      </c>
      <c r="BR40" t="e">
        <f>IF(#REF!,"AAAAAFH3vkU=",0)</f>
        <v>#REF!</v>
      </c>
      <c r="BS40" t="e">
        <f>AND(#REF!,"AAAAAFH3vkY=")</f>
        <v>#REF!</v>
      </c>
      <c r="BT40" t="e">
        <f>AND(#REF!,"AAAAAFH3vkc=")</f>
        <v>#REF!</v>
      </c>
      <c r="BU40" t="e">
        <f>AND(#REF!,"AAAAAFH3vkg=")</f>
        <v>#REF!</v>
      </c>
      <c r="BV40" t="e">
        <f>AND(#REF!,"AAAAAFH3vkk=")</f>
        <v>#REF!</v>
      </c>
      <c r="BW40" t="e">
        <f>AND(#REF!,"AAAAAFH3vko=")</f>
        <v>#REF!</v>
      </c>
      <c r="BX40" t="e">
        <f>AND(#REF!,"AAAAAFH3vks=")</f>
        <v>#REF!</v>
      </c>
      <c r="BY40" t="e">
        <f>AND(#REF!,"AAAAAFH3vkw=")</f>
        <v>#REF!</v>
      </c>
      <c r="BZ40" t="e">
        <f>AND(#REF!,"AAAAAFH3vk0=")</f>
        <v>#REF!</v>
      </c>
      <c r="CA40" t="e">
        <f>AND(#REF!,"AAAAAFH3vk4=")</f>
        <v>#REF!</v>
      </c>
      <c r="CB40" t="e">
        <f>AND(#REF!,"AAAAAFH3vk8=")</f>
        <v>#REF!</v>
      </c>
      <c r="CC40" t="e">
        <f>AND(#REF!,"AAAAAFH3vlA=")</f>
        <v>#REF!</v>
      </c>
      <c r="CD40" t="e">
        <f>AND(#REF!,"AAAAAFH3vlE=")</f>
        <v>#REF!</v>
      </c>
      <c r="CE40" t="e">
        <f>AND(#REF!,"AAAAAFH3vlI=")</f>
        <v>#REF!</v>
      </c>
      <c r="CF40" t="e">
        <f>AND(#REF!,"AAAAAFH3vlM=")</f>
        <v>#REF!</v>
      </c>
      <c r="CG40" t="e">
        <f>AND(#REF!,"AAAAAFH3vlQ=")</f>
        <v>#REF!</v>
      </c>
      <c r="CH40" t="e">
        <f>AND(#REF!,"AAAAAFH3vlU=")</f>
        <v>#REF!</v>
      </c>
      <c r="CI40" t="e">
        <f>AND(#REF!,"AAAAAFH3vlY=")</f>
        <v>#REF!</v>
      </c>
      <c r="CJ40" t="e">
        <f>AND(#REF!,"AAAAAFH3vlc=")</f>
        <v>#REF!</v>
      </c>
      <c r="CK40" t="e">
        <f>AND(#REF!,"AAAAAFH3vlg=")</f>
        <v>#REF!</v>
      </c>
      <c r="CL40" t="e">
        <f>AND(#REF!,"AAAAAFH3vlk=")</f>
        <v>#REF!</v>
      </c>
      <c r="CM40" t="e">
        <f>AND(#REF!,"AAAAAFH3vlo=")</f>
        <v>#REF!</v>
      </c>
      <c r="CN40" t="e">
        <f>AND(#REF!,"AAAAAFH3vls=")</f>
        <v>#REF!</v>
      </c>
      <c r="CO40" t="e">
        <f>AND(#REF!,"AAAAAFH3vlw=")</f>
        <v>#REF!</v>
      </c>
      <c r="CP40" t="e">
        <f>IF(#REF!,"AAAAAFH3vl0=",0)</f>
        <v>#REF!</v>
      </c>
      <c r="CQ40" t="e">
        <f>AND(#REF!,"AAAAAFH3vl4=")</f>
        <v>#REF!</v>
      </c>
      <c r="CR40" t="e">
        <f>AND(#REF!,"AAAAAFH3vl8=")</f>
        <v>#REF!</v>
      </c>
      <c r="CS40" t="e">
        <f>AND(#REF!,"AAAAAFH3vmA=")</f>
        <v>#REF!</v>
      </c>
      <c r="CT40" t="e">
        <f>AND(#REF!,"AAAAAFH3vmE=")</f>
        <v>#REF!</v>
      </c>
      <c r="CU40" t="e">
        <f>AND(#REF!,"AAAAAFH3vmI=")</f>
        <v>#REF!</v>
      </c>
      <c r="CV40" t="e">
        <f>AND(#REF!,"AAAAAFH3vmM=")</f>
        <v>#REF!</v>
      </c>
      <c r="CW40" t="e">
        <f>AND(#REF!,"AAAAAFH3vmQ=")</f>
        <v>#REF!</v>
      </c>
      <c r="CX40" t="e">
        <f>AND(#REF!,"AAAAAFH3vmU=")</f>
        <v>#REF!</v>
      </c>
      <c r="CY40" t="e">
        <f>AND(#REF!,"AAAAAFH3vmY=")</f>
        <v>#REF!</v>
      </c>
      <c r="CZ40" t="e">
        <f>AND(#REF!,"AAAAAFH3vmc=")</f>
        <v>#REF!</v>
      </c>
      <c r="DA40" t="e">
        <f>AND(#REF!,"AAAAAFH3vmg=")</f>
        <v>#REF!</v>
      </c>
      <c r="DB40" t="e">
        <f>AND(#REF!,"AAAAAFH3vmk=")</f>
        <v>#REF!</v>
      </c>
      <c r="DC40" t="e">
        <f>AND(#REF!,"AAAAAFH3vmo=")</f>
        <v>#REF!</v>
      </c>
      <c r="DD40" t="e">
        <f>AND(#REF!,"AAAAAFH3vms=")</f>
        <v>#REF!</v>
      </c>
      <c r="DE40" t="e">
        <f>AND(#REF!,"AAAAAFH3vmw=")</f>
        <v>#REF!</v>
      </c>
      <c r="DF40" t="e">
        <f>AND(#REF!,"AAAAAFH3vm0=")</f>
        <v>#REF!</v>
      </c>
      <c r="DG40" t="e">
        <f>AND(#REF!,"AAAAAFH3vm4=")</f>
        <v>#REF!</v>
      </c>
      <c r="DH40" t="e">
        <f>AND(#REF!,"AAAAAFH3vm8=")</f>
        <v>#REF!</v>
      </c>
      <c r="DI40" t="e">
        <f>AND(#REF!,"AAAAAFH3vnA=")</f>
        <v>#REF!</v>
      </c>
      <c r="DJ40" t="e">
        <f>AND(#REF!,"AAAAAFH3vnE=")</f>
        <v>#REF!</v>
      </c>
      <c r="DK40" t="e">
        <f>AND(#REF!,"AAAAAFH3vnI=")</f>
        <v>#REF!</v>
      </c>
      <c r="DL40" t="e">
        <f>AND(#REF!,"AAAAAFH3vnM=")</f>
        <v>#REF!</v>
      </c>
      <c r="DM40" t="e">
        <f>AND(#REF!,"AAAAAFH3vnQ=")</f>
        <v>#REF!</v>
      </c>
      <c r="DN40" t="e">
        <f>IF(#REF!,"AAAAAFH3vnU=",0)</f>
        <v>#REF!</v>
      </c>
      <c r="DO40" t="e">
        <f>AND(#REF!,"AAAAAFH3vnY=")</f>
        <v>#REF!</v>
      </c>
      <c r="DP40" t="e">
        <f>AND(#REF!,"AAAAAFH3vnc=")</f>
        <v>#REF!</v>
      </c>
      <c r="DQ40" t="e">
        <f>AND(#REF!,"AAAAAFH3vng=")</f>
        <v>#REF!</v>
      </c>
      <c r="DR40" t="e">
        <f>AND(#REF!,"AAAAAFH3vnk=")</f>
        <v>#REF!</v>
      </c>
      <c r="DS40" t="e">
        <f>AND(#REF!,"AAAAAFH3vno=")</f>
        <v>#REF!</v>
      </c>
      <c r="DT40" t="e">
        <f>AND(#REF!,"AAAAAFH3vns=")</f>
        <v>#REF!</v>
      </c>
      <c r="DU40" t="e">
        <f>AND(#REF!,"AAAAAFH3vnw=")</f>
        <v>#REF!</v>
      </c>
      <c r="DV40" t="e">
        <f>AND(#REF!,"AAAAAFH3vn0=")</f>
        <v>#REF!</v>
      </c>
      <c r="DW40" t="e">
        <f>AND(#REF!,"AAAAAFH3vn4=")</f>
        <v>#REF!</v>
      </c>
      <c r="DX40" t="e">
        <f>AND(#REF!,"AAAAAFH3vn8=")</f>
        <v>#REF!</v>
      </c>
      <c r="DY40" t="e">
        <f>AND(#REF!,"AAAAAFH3voA=")</f>
        <v>#REF!</v>
      </c>
      <c r="DZ40" t="e">
        <f>AND(#REF!,"AAAAAFH3voE=")</f>
        <v>#REF!</v>
      </c>
      <c r="EA40" t="e">
        <f>AND(#REF!,"AAAAAFH3voI=")</f>
        <v>#REF!</v>
      </c>
      <c r="EB40" t="e">
        <f>AND(#REF!,"AAAAAFH3voM=")</f>
        <v>#REF!</v>
      </c>
      <c r="EC40" t="e">
        <f>AND(#REF!,"AAAAAFH3voQ=")</f>
        <v>#REF!</v>
      </c>
      <c r="ED40" t="e">
        <f>AND(#REF!,"AAAAAFH3voU=")</f>
        <v>#REF!</v>
      </c>
      <c r="EE40" t="e">
        <f>AND(#REF!,"AAAAAFH3voY=")</f>
        <v>#REF!</v>
      </c>
      <c r="EF40" t="e">
        <f>AND(#REF!,"AAAAAFH3voc=")</f>
        <v>#REF!</v>
      </c>
      <c r="EG40" t="e">
        <f>AND(#REF!,"AAAAAFH3vog=")</f>
        <v>#REF!</v>
      </c>
      <c r="EH40" t="e">
        <f>AND(#REF!,"AAAAAFH3vok=")</f>
        <v>#REF!</v>
      </c>
      <c r="EI40" t="e">
        <f>AND(#REF!,"AAAAAFH3voo=")</f>
        <v>#REF!</v>
      </c>
      <c r="EJ40" t="e">
        <f>AND(#REF!,"AAAAAFH3vos=")</f>
        <v>#REF!</v>
      </c>
      <c r="EK40" t="e">
        <f>AND(#REF!,"AAAAAFH3vow=")</f>
        <v>#REF!</v>
      </c>
      <c r="EL40" t="e">
        <f>IF(#REF!,"AAAAAFH3vo0=",0)</f>
        <v>#REF!</v>
      </c>
      <c r="EM40" t="e">
        <f>AND(#REF!,"AAAAAFH3vo4=")</f>
        <v>#REF!</v>
      </c>
      <c r="EN40" t="e">
        <f>AND(#REF!,"AAAAAFH3vo8=")</f>
        <v>#REF!</v>
      </c>
      <c r="EO40" t="e">
        <f>AND(#REF!,"AAAAAFH3vpA=")</f>
        <v>#REF!</v>
      </c>
      <c r="EP40" t="e">
        <f>AND(#REF!,"AAAAAFH3vpE=")</f>
        <v>#REF!</v>
      </c>
      <c r="EQ40" t="e">
        <f>AND(#REF!,"AAAAAFH3vpI=")</f>
        <v>#REF!</v>
      </c>
      <c r="ER40" t="e">
        <f>AND(#REF!,"AAAAAFH3vpM=")</f>
        <v>#REF!</v>
      </c>
      <c r="ES40" t="e">
        <f>AND(#REF!,"AAAAAFH3vpQ=")</f>
        <v>#REF!</v>
      </c>
      <c r="ET40" t="e">
        <f>AND(#REF!,"AAAAAFH3vpU=")</f>
        <v>#REF!</v>
      </c>
      <c r="EU40" t="e">
        <f>AND(#REF!,"AAAAAFH3vpY=")</f>
        <v>#REF!</v>
      </c>
      <c r="EV40" t="e">
        <f>AND(#REF!,"AAAAAFH3vpc=")</f>
        <v>#REF!</v>
      </c>
      <c r="EW40" t="e">
        <f>AND(#REF!,"AAAAAFH3vpg=")</f>
        <v>#REF!</v>
      </c>
      <c r="EX40" t="e">
        <f>AND(#REF!,"AAAAAFH3vpk=")</f>
        <v>#REF!</v>
      </c>
      <c r="EY40" t="e">
        <f>AND(#REF!,"AAAAAFH3vpo=")</f>
        <v>#REF!</v>
      </c>
      <c r="EZ40" t="e">
        <f>AND(#REF!,"AAAAAFH3vps=")</f>
        <v>#REF!</v>
      </c>
      <c r="FA40" t="e">
        <f>AND(#REF!,"AAAAAFH3vpw=")</f>
        <v>#REF!</v>
      </c>
      <c r="FB40" t="e">
        <f>AND(#REF!,"AAAAAFH3vp0=")</f>
        <v>#REF!</v>
      </c>
      <c r="FC40" t="e">
        <f>AND(#REF!,"AAAAAFH3vp4=")</f>
        <v>#REF!</v>
      </c>
      <c r="FD40" t="e">
        <f>AND(#REF!,"AAAAAFH3vp8=")</f>
        <v>#REF!</v>
      </c>
      <c r="FE40" t="e">
        <f>AND(#REF!,"AAAAAFH3vqA=")</f>
        <v>#REF!</v>
      </c>
      <c r="FF40" t="e">
        <f>AND(#REF!,"AAAAAFH3vqE=")</f>
        <v>#REF!</v>
      </c>
      <c r="FG40" t="e">
        <f>AND(#REF!,"AAAAAFH3vqI=")</f>
        <v>#REF!</v>
      </c>
      <c r="FH40" t="e">
        <f>AND(#REF!,"AAAAAFH3vqM=")</f>
        <v>#REF!</v>
      </c>
      <c r="FI40" t="e">
        <f>AND(#REF!,"AAAAAFH3vqQ=")</f>
        <v>#REF!</v>
      </c>
      <c r="FJ40" t="e">
        <f>IF(#REF!,"AAAAAFH3vqU=",0)</f>
        <v>#REF!</v>
      </c>
      <c r="FK40" t="e">
        <f>AND(#REF!,"AAAAAFH3vqY=")</f>
        <v>#REF!</v>
      </c>
      <c r="FL40" t="e">
        <f>AND(#REF!,"AAAAAFH3vqc=")</f>
        <v>#REF!</v>
      </c>
      <c r="FM40" t="e">
        <f>AND(#REF!,"AAAAAFH3vqg=")</f>
        <v>#REF!</v>
      </c>
      <c r="FN40" t="e">
        <f>AND(#REF!,"AAAAAFH3vqk=")</f>
        <v>#REF!</v>
      </c>
      <c r="FO40" t="e">
        <f>AND(#REF!,"AAAAAFH3vqo=")</f>
        <v>#REF!</v>
      </c>
      <c r="FP40" t="e">
        <f>AND(#REF!,"AAAAAFH3vqs=")</f>
        <v>#REF!</v>
      </c>
      <c r="FQ40" t="e">
        <f>AND(#REF!,"AAAAAFH3vqw=")</f>
        <v>#REF!</v>
      </c>
      <c r="FR40" t="e">
        <f>AND(#REF!,"AAAAAFH3vq0=")</f>
        <v>#REF!</v>
      </c>
      <c r="FS40" t="e">
        <f>AND(#REF!,"AAAAAFH3vq4=")</f>
        <v>#REF!</v>
      </c>
      <c r="FT40" t="e">
        <f>AND(#REF!,"AAAAAFH3vq8=")</f>
        <v>#REF!</v>
      </c>
      <c r="FU40" t="e">
        <f>AND(#REF!,"AAAAAFH3vrA=")</f>
        <v>#REF!</v>
      </c>
      <c r="FV40" t="e">
        <f>AND(#REF!,"AAAAAFH3vrE=")</f>
        <v>#REF!</v>
      </c>
      <c r="FW40" t="e">
        <f>AND(#REF!,"AAAAAFH3vrI=")</f>
        <v>#REF!</v>
      </c>
      <c r="FX40" t="e">
        <f>AND(#REF!,"AAAAAFH3vrM=")</f>
        <v>#REF!</v>
      </c>
      <c r="FY40" t="e">
        <f>AND(#REF!,"AAAAAFH3vrQ=")</f>
        <v>#REF!</v>
      </c>
      <c r="FZ40" t="e">
        <f>AND(#REF!,"AAAAAFH3vrU=")</f>
        <v>#REF!</v>
      </c>
      <c r="GA40" t="e">
        <f>AND(#REF!,"AAAAAFH3vrY=")</f>
        <v>#REF!</v>
      </c>
      <c r="GB40" t="e">
        <f>AND(#REF!,"AAAAAFH3vrc=")</f>
        <v>#REF!</v>
      </c>
      <c r="GC40" t="e">
        <f>AND(#REF!,"AAAAAFH3vrg=")</f>
        <v>#REF!</v>
      </c>
      <c r="GD40" t="e">
        <f>AND(#REF!,"AAAAAFH3vrk=")</f>
        <v>#REF!</v>
      </c>
      <c r="GE40" t="e">
        <f>AND(#REF!,"AAAAAFH3vro=")</f>
        <v>#REF!</v>
      </c>
      <c r="GF40" t="e">
        <f>AND(#REF!,"AAAAAFH3vrs=")</f>
        <v>#REF!</v>
      </c>
      <c r="GG40" t="e">
        <f>AND(#REF!,"AAAAAFH3vrw=")</f>
        <v>#REF!</v>
      </c>
      <c r="GH40" t="e">
        <f>IF(#REF!,"AAAAAFH3vr0=",0)</f>
        <v>#REF!</v>
      </c>
      <c r="GI40" t="e">
        <f>AND(#REF!,"AAAAAFH3vr4=")</f>
        <v>#REF!</v>
      </c>
      <c r="GJ40" t="e">
        <f>AND(#REF!,"AAAAAFH3vr8=")</f>
        <v>#REF!</v>
      </c>
      <c r="GK40" t="e">
        <f>AND(#REF!,"AAAAAFH3vsA=")</f>
        <v>#REF!</v>
      </c>
      <c r="GL40" t="e">
        <f>AND(#REF!,"AAAAAFH3vsE=")</f>
        <v>#REF!</v>
      </c>
      <c r="GM40" t="e">
        <f>AND(#REF!,"AAAAAFH3vsI=")</f>
        <v>#REF!</v>
      </c>
      <c r="GN40" t="e">
        <f>AND(#REF!,"AAAAAFH3vsM=")</f>
        <v>#REF!</v>
      </c>
      <c r="GO40" t="e">
        <f>AND(#REF!,"AAAAAFH3vsQ=")</f>
        <v>#REF!</v>
      </c>
      <c r="GP40" t="e">
        <f>AND(#REF!,"AAAAAFH3vsU=")</f>
        <v>#REF!</v>
      </c>
      <c r="GQ40" t="e">
        <f>AND(#REF!,"AAAAAFH3vsY=")</f>
        <v>#REF!</v>
      </c>
      <c r="GR40" t="e">
        <f>AND(#REF!,"AAAAAFH3vsc=")</f>
        <v>#REF!</v>
      </c>
      <c r="GS40" t="e">
        <f>AND(#REF!,"AAAAAFH3vsg=")</f>
        <v>#REF!</v>
      </c>
      <c r="GT40" t="e">
        <f>AND(#REF!,"AAAAAFH3vsk=")</f>
        <v>#REF!</v>
      </c>
      <c r="GU40" t="e">
        <f>AND(#REF!,"AAAAAFH3vso=")</f>
        <v>#REF!</v>
      </c>
      <c r="GV40" t="e">
        <f>AND(#REF!,"AAAAAFH3vss=")</f>
        <v>#REF!</v>
      </c>
      <c r="GW40" t="e">
        <f>AND(#REF!,"AAAAAFH3vsw=")</f>
        <v>#REF!</v>
      </c>
      <c r="GX40" t="e">
        <f>AND(#REF!,"AAAAAFH3vs0=")</f>
        <v>#REF!</v>
      </c>
      <c r="GY40" t="e">
        <f>AND(#REF!,"AAAAAFH3vs4=")</f>
        <v>#REF!</v>
      </c>
      <c r="GZ40" t="e">
        <f>AND(#REF!,"AAAAAFH3vs8=")</f>
        <v>#REF!</v>
      </c>
      <c r="HA40" t="e">
        <f>AND(#REF!,"AAAAAFH3vtA=")</f>
        <v>#REF!</v>
      </c>
      <c r="HB40" t="e">
        <f>AND(#REF!,"AAAAAFH3vtE=")</f>
        <v>#REF!</v>
      </c>
      <c r="HC40" t="e">
        <f>AND(#REF!,"AAAAAFH3vtI=")</f>
        <v>#REF!</v>
      </c>
      <c r="HD40" t="e">
        <f>AND(#REF!,"AAAAAFH3vtM=")</f>
        <v>#REF!</v>
      </c>
      <c r="HE40" t="e">
        <f>AND(#REF!,"AAAAAFH3vtQ=")</f>
        <v>#REF!</v>
      </c>
      <c r="HF40" t="e">
        <f>IF(#REF!,"AAAAAFH3vtU=",0)</f>
        <v>#REF!</v>
      </c>
      <c r="HG40" t="e">
        <f>AND(#REF!,"AAAAAFH3vtY=")</f>
        <v>#REF!</v>
      </c>
      <c r="HH40" t="e">
        <f>AND(#REF!,"AAAAAFH3vtc=")</f>
        <v>#REF!</v>
      </c>
      <c r="HI40" t="e">
        <f>AND(#REF!,"AAAAAFH3vtg=")</f>
        <v>#REF!</v>
      </c>
      <c r="HJ40" t="e">
        <f>AND(#REF!,"AAAAAFH3vtk=")</f>
        <v>#REF!</v>
      </c>
      <c r="HK40" t="e">
        <f>AND(#REF!,"AAAAAFH3vto=")</f>
        <v>#REF!</v>
      </c>
      <c r="HL40" t="e">
        <f>AND(#REF!,"AAAAAFH3vts=")</f>
        <v>#REF!</v>
      </c>
      <c r="HM40" t="e">
        <f>AND(#REF!,"AAAAAFH3vtw=")</f>
        <v>#REF!</v>
      </c>
      <c r="HN40" t="e">
        <f>AND(#REF!,"AAAAAFH3vt0=")</f>
        <v>#REF!</v>
      </c>
      <c r="HO40" t="e">
        <f>AND(#REF!,"AAAAAFH3vt4=")</f>
        <v>#REF!</v>
      </c>
      <c r="HP40" t="e">
        <f>AND(#REF!,"AAAAAFH3vt8=")</f>
        <v>#REF!</v>
      </c>
      <c r="HQ40" t="e">
        <f>AND(#REF!,"AAAAAFH3vuA=")</f>
        <v>#REF!</v>
      </c>
      <c r="HR40" t="e">
        <f>AND(#REF!,"AAAAAFH3vuE=")</f>
        <v>#REF!</v>
      </c>
      <c r="HS40" t="e">
        <f>AND(#REF!,"AAAAAFH3vuI=")</f>
        <v>#REF!</v>
      </c>
      <c r="HT40" t="e">
        <f>AND(#REF!,"AAAAAFH3vuM=")</f>
        <v>#REF!</v>
      </c>
      <c r="HU40" t="e">
        <f>AND(#REF!,"AAAAAFH3vuQ=")</f>
        <v>#REF!</v>
      </c>
      <c r="HV40" t="e">
        <f>AND(#REF!,"AAAAAFH3vuU=")</f>
        <v>#REF!</v>
      </c>
      <c r="HW40" t="e">
        <f>AND(#REF!,"AAAAAFH3vuY=")</f>
        <v>#REF!</v>
      </c>
      <c r="HX40" t="e">
        <f>AND(#REF!,"AAAAAFH3vuc=")</f>
        <v>#REF!</v>
      </c>
      <c r="HY40" t="e">
        <f>AND(#REF!,"AAAAAFH3vug=")</f>
        <v>#REF!</v>
      </c>
      <c r="HZ40" t="e">
        <f>AND(#REF!,"AAAAAFH3vuk=")</f>
        <v>#REF!</v>
      </c>
      <c r="IA40" t="e">
        <f>AND(#REF!,"AAAAAFH3vuo=")</f>
        <v>#REF!</v>
      </c>
      <c r="IB40" t="e">
        <f>AND(#REF!,"AAAAAFH3vus=")</f>
        <v>#REF!</v>
      </c>
      <c r="IC40" t="e">
        <f>AND(#REF!,"AAAAAFH3vuw=")</f>
        <v>#REF!</v>
      </c>
      <c r="ID40" t="e">
        <f>IF(#REF!,"AAAAAFH3vu0=",0)</f>
        <v>#REF!</v>
      </c>
      <c r="IE40" t="e">
        <f>AND(#REF!,"AAAAAFH3vu4=")</f>
        <v>#REF!</v>
      </c>
      <c r="IF40" t="e">
        <f>AND(#REF!,"AAAAAFH3vu8=")</f>
        <v>#REF!</v>
      </c>
      <c r="IG40" t="e">
        <f>AND(#REF!,"AAAAAFH3vvA=")</f>
        <v>#REF!</v>
      </c>
      <c r="IH40" t="e">
        <f>AND(#REF!,"AAAAAFH3vvE=")</f>
        <v>#REF!</v>
      </c>
      <c r="II40" t="e">
        <f>AND(#REF!,"AAAAAFH3vvI=")</f>
        <v>#REF!</v>
      </c>
      <c r="IJ40" t="e">
        <f>AND(#REF!,"AAAAAFH3vvM=")</f>
        <v>#REF!</v>
      </c>
      <c r="IK40" t="e">
        <f>AND(#REF!,"AAAAAFH3vvQ=")</f>
        <v>#REF!</v>
      </c>
      <c r="IL40" t="e">
        <f>AND(#REF!,"AAAAAFH3vvU=")</f>
        <v>#REF!</v>
      </c>
      <c r="IM40" t="e">
        <f>AND(#REF!,"AAAAAFH3vvY=")</f>
        <v>#REF!</v>
      </c>
      <c r="IN40" t="e">
        <f>AND(#REF!,"AAAAAFH3vvc=")</f>
        <v>#REF!</v>
      </c>
      <c r="IO40" t="e">
        <f>AND(#REF!,"AAAAAFH3vvg=")</f>
        <v>#REF!</v>
      </c>
      <c r="IP40" t="e">
        <f>AND(#REF!,"AAAAAFH3vvk=")</f>
        <v>#REF!</v>
      </c>
      <c r="IQ40" t="e">
        <f>AND(#REF!,"AAAAAFH3vvo=")</f>
        <v>#REF!</v>
      </c>
      <c r="IR40" t="e">
        <f>AND(#REF!,"AAAAAFH3vvs=")</f>
        <v>#REF!</v>
      </c>
      <c r="IS40" t="e">
        <f>AND(#REF!,"AAAAAFH3vvw=")</f>
        <v>#REF!</v>
      </c>
      <c r="IT40" t="e">
        <f>AND(#REF!,"AAAAAFH3vv0=")</f>
        <v>#REF!</v>
      </c>
      <c r="IU40" t="e">
        <f>AND(#REF!,"AAAAAFH3vv4=")</f>
        <v>#REF!</v>
      </c>
      <c r="IV40" t="e">
        <f>AND(#REF!,"AAAAAFH3vv8=")</f>
        <v>#REF!</v>
      </c>
    </row>
    <row r="41" spans="1:256" x14ac:dyDescent="0.25">
      <c r="A41" t="e">
        <f>AND(#REF!,"AAAAAF50nwA=")</f>
        <v>#REF!</v>
      </c>
      <c r="B41" t="e">
        <f>AND(#REF!,"AAAAAF50nwE=")</f>
        <v>#REF!</v>
      </c>
      <c r="C41" t="e">
        <f>AND(#REF!,"AAAAAF50nwI=")</f>
        <v>#REF!</v>
      </c>
      <c r="D41" t="e">
        <f>AND(#REF!,"AAAAAF50nwM=")</f>
        <v>#REF!</v>
      </c>
      <c r="E41" t="e">
        <f>AND(#REF!,"AAAAAF50nwQ=")</f>
        <v>#REF!</v>
      </c>
      <c r="F41" t="e">
        <f>IF(#REF!,"AAAAAF50nwU=",0)</f>
        <v>#REF!</v>
      </c>
      <c r="G41" t="e">
        <f>AND(#REF!,"AAAAAF50nwY=")</f>
        <v>#REF!</v>
      </c>
      <c r="H41" t="e">
        <f>AND(#REF!,"AAAAAF50nwc=")</f>
        <v>#REF!</v>
      </c>
      <c r="I41" t="e">
        <f>AND(#REF!,"AAAAAF50nwg=")</f>
        <v>#REF!</v>
      </c>
      <c r="J41" t="e">
        <f>AND(#REF!,"AAAAAF50nwk=")</f>
        <v>#REF!</v>
      </c>
      <c r="K41" t="e">
        <f>AND(#REF!,"AAAAAF50nwo=")</f>
        <v>#REF!</v>
      </c>
      <c r="L41" t="e">
        <f>AND(#REF!,"AAAAAF50nws=")</f>
        <v>#REF!</v>
      </c>
      <c r="M41" t="e">
        <f>AND(#REF!,"AAAAAF50nww=")</f>
        <v>#REF!</v>
      </c>
      <c r="N41" t="e">
        <f>AND(#REF!,"AAAAAF50nw0=")</f>
        <v>#REF!</v>
      </c>
      <c r="O41" t="e">
        <f>AND(#REF!,"AAAAAF50nw4=")</f>
        <v>#REF!</v>
      </c>
      <c r="P41" t="e">
        <f>AND(#REF!,"AAAAAF50nw8=")</f>
        <v>#REF!</v>
      </c>
      <c r="Q41" t="e">
        <f>AND(#REF!,"AAAAAF50nxA=")</f>
        <v>#REF!</v>
      </c>
      <c r="R41" t="e">
        <f>AND(#REF!,"AAAAAF50nxE=")</f>
        <v>#REF!</v>
      </c>
      <c r="S41" t="e">
        <f>AND(#REF!,"AAAAAF50nxI=")</f>
        <v>#REF!</v>
      </c>
      <c r="T41" t="e">
        <f>AND(#REF!,"AAAAAF50nxM=")</f>
        <v>#REF!</v>
      </c>
      <c r="U41" t="e">
        <f>AND(#REF!,"AAAAAF50nxQ=")</f>
        <v>#REF!</v>
      </c>
      <c r="V41" t="e">
        <f>AND(#REF!,"AAAAAF50nxU=")</f>
        <v>#REF!</v>
      </c>
      <c r="W41" t="e">
        <f>AND(#REF!,"AAAAAF50nxY=")</f>
        <v>#REF!</v>
      </c>
      <c r="X41" t="e">
        <f>AND(#REF!,"AAAAAF50nxc=")</f>
        <v>#REF!</v>
      </c>
      <c r="Y41" t="e">
        <f>AND(#REF!,"AAAAAF50nxg=")</f>
        <v>#REF!</v>
      </c>
      <c r="Z41" t="e">
        <f>AND(#REF!,"AAAAAF50nxk=")</f>
        <v>#REF!</v>
      </c>
      <c r="AA41" t="e">
        <f>AND(#REF!,"AAAAAF50nxo=")</f>
        <v>#REF!</v>
      </c>
      <c r="AB41" t="e">
        <f>AND(#REF!,"AAAAAF50nxs=")</f>
        <v>#REF!</v>
      </c>
      <c r="AC41" t="e">
        <f>AND(#REF!,"AAAAAF50nxw=")</f>
        <v>#REF!</v>
      </c>
      <c r="AD41" t="e">
        <f>IF(#REF!,"AAAAAF50nx0=",0)</f>
        <v>#REF!</v>
      </c>
      <c r="AE41" t="e">
        <f>AND(#REF!,"AAAAAF50nx4=")</f>
        <v>#REF!</v>
      </c>
      <c r="AF41" t="e">
        <f>AND(#REF!,"AAAAAF50nx8=")</f>
        <v>#REF!</v>
      </c>
      <c r="AG41" t="e">
        <f>AND(#REF!,"AAAAAF50nyA=")</f>
        <v>#REF!</v>
      </c>
      <c r="AH41" t="e">
        <f>AND(#REF!,"AAAAAF50nyE=")</f>
        <v>#REF!</v>
      </c>
      <c r="AI41" t="e">
        <f>AND(#REF!,"AAAAAF50nyI=")</f>
        <v>#REF!</v>
      </c>
      <c r="AJ41" t="e">
        <f>AND(#REF!,"AAAAAF50nyM=")</f>
        <v>#REF!</v>
      </c>
      <c r="AK41" t="e">
        <f>AND(#REF!,"AAAAAF50nyQ=")</f>
        <v>#REF!</v>
      </c>
      <c r="AL41" t="e">
        <f>AND(#REF!,"AAAAAF50nyU=")</f>
        <v>#REF!</v>
      </c>
      <c r="AM41" t="e">
        <f>AND(#REF!,"AAAAAF50nyY=")</f>
        <v>#REF!</v>
      </c>
      <c r="AN41" t="e">
        <f>AND(#REF!,"AAAAAF50nyc=")</f>
        <v>#REF!</v>
      </c>
      <c r="AO41" t="e">
        <f>AND(#REF!,"AAAAAF50nyg=")</f>
        <v>#REF!</v>
      </c>
      <c r="AP41" t="e">
        <f>AND(#REF!,"AAAAAF50nyk=")</f>
        <v>#REF!</v>
      </c>
      <c r="AQ41" t="e">
        <f>AND(#REF!,"AAAAAF50nyo=")</f>
        <v>#REF!</v>
      </c>
      <c r="AR41" t="e">
        <f>AND(#REF!,"AAAAAF50nys=")</f>
        <v>#REF!</v>
      </c>
      <c r="AS41" t="e">
        <f>AND(#REF!,"AAAAAF50nyw=")</f>
        <v>#REF!</v>
      </c>
      <c r="AT41" t="e">
        <f>AND(#REF!,"AAAAAF50ny0=")</f>
        <v>#REF!</v>
      </c>
      <c r="AU41" t="e">
        <f>AND(#REF!,"AAAAAF50ny4=")</f>
        <v>#REF!</v>
      </c>
      <c r="AV41" t="e">
        <f>AND(#REF!,"AAAAAF50ny8=")</f>
        <v>#REF!</v>
      </c>
      <c r="AW41" t="e">
        <f>AND(#REF!,"AAAAAF50nzA=")</f>
        <v>#REF!</v>
      </c>
      <c r="AX41" t="e">
        <f>AND(#REF!,"AAAAAF50nzE=")</f>
        <v>#REF!</v>
      </c>
      <c r="AY41" t="e">
        <f>AND(#REF!,"AAAAAF50nzI=")</f>
        <v>#REF!</v>
      </c>
      <c r="AZ41" t="e">
        <f>AND(#REF!,"AAAAAF50nzM=")</f>
        <v>#REF!</v>
      </c>
      <c r="BA41" t="e">
        <f>AND(#REF!,"AAAAAF50nzQ=")</f>
        <v>#REF!</v>
      </c>
      <c r="BB41" t="e">
        <f>IF(#REF!,"AAAAAF50nzU=",0)</f>
        <v>#REF!</v>
      </c>
      <c r="BC41" t="e">
        <f>AND(#REF!,"AAAAAF50nzY=")</f>
        <v>#REF!</v>
      </c>
      <c r="BD41" t="e">
        <f>AND(#REF!,"AAAAAF50nzc=")</f>
        <v>#REF!</v>
      </c>
      <c r="BE41" t="e">
        <f>AND(#REF!,"AAAAAF50nzg=")</f>
        <v>#REF!</v>
      </c>
      <c r="BF41" t="e">
        <f>AND(#REF!,"AAAAAF50nzk=")</f>
        <v>#REF!</v>
      </c>
      <c r="BG41" t="e">
        <f>AND(#REF!,"AAAAAF50nzo=")</f>
        <v>#REF!</v>
      </c>
      <c r="BH41" t="e">
        <f>AND(#REF!,"AAAAAF50nzs=")</f>
        <v>#REF!</v>
      </c>
      <c r="BI41" t="e">
        <f>AND(#REF!,"AAAAAF50nzw=")</f>
        <v>#REF!</v>
      </c>
      <c r="BJ41" t="e">
        <f>AND(#REF!,"AAAAAF50nz0=")</f>
        <v>#REF!</v>
      </c>
      <c r="BK41" t="e">
        <f>AND(#REF!,"AAAAAF50nz4=")</f>
        <v>#REF!</v>
      </c>
      <c r="BL41" t="e">
        <f>AND(#REF!,"AAAAAF50nz8=")</f>
        <v>#REF!</v>
      </c>
      <c r="BM41" t="e">
        <f>AND(#REF!,"AAAAAF50n0A=")</f>
        <v>#REF!</v>
      </c>
      <c r="BN41" t="e">
        <f>AND(#REF!,"AAAAAF50n0E=")</f>
        <v>#REF!</v>
      </c>
      <c r="BO41" t="e">
        <f>AND(#REF!,"AAAAAF50n0I=")</f>
        <v>#REF!</v>
      </c>
      <c r="BP41" t="e">
        <f>AND(#REF!,"AAAAAF50n0M=")</f>
        <v>#REF!</v>
      </c>
      <c r="BQ41" t="e">
        <f>AND(#REF!,"AAAAAF50n0Q=")</f>
        <v>#REF!</v>
      </c>
      <c r="BR41" t="e">
        <f>AND(#REF!,"AAAAAF50n0U=")</f>
        <v>#REF!</v>
      </c>
      <c r="BS41" t="e">
        <f>AND(#REF!,"AAAAAF50n0Y=")</f>
        <v>#REF!</v>
      </c>
      <c r="BT41" t="e">
        <f>AND(#REF!,"AAAAAF50n0c=")</f>
        <v>#REF!</v>
      </c>
      <c r="BU41" t="e">
        <f>AND(#REF!,"AAAAAF50n0g=")</f>
        <v>#REF!</v>
      </c>
      <c r="BV41" t="e">
        <f>AND(#REF!,"AAAAAF50n0k=")</f>
        <v>#REF!</v>
      </c>
      <c r="BW41" t="e">
        <f>AND(#REF!,"AAAAAF50n0o=")</f>
        <v>#REF!</v>
      </c>
      <c r="BX41" t="e">
        <f>AND(#REF!,"AAAAAF50n0s=")</f>
        <v>#REF!</v>
      </c>
      <c r="BY41" t="e">
        <f>AND(#REF!,"AAAAAF50n0w=")</f>
        <v>#REF!</v>
      </c>
      <c r="BZ41" t="e">
        <f>IF(#REF!,"AAAAAF50n00=",0)</f>
        <v>#REF!</v>
      </c>
      <c r="CA41" t="e">
        <f>AND(#REF!,"AAAAAF50n04=")</f>
        <v>#REF!</v>
      </c>
      <c r="CB41" t="e">
        <f>AND(#REF!,"AAAAAF50n08=")</f>
        <v>#REF!</v>
      </c>
      <c r="CC41" t="e">
        <f>AND(#REF!,"AAAAAF50n1A=")</f>
        <v>#REF!</v>
      </c>
      <c r="CD41" t="e">
        <f>AND(#REF!,"AAAAAF50n1E=")</f>
        <v>#REF!</v>
      </c>
      <c r="CE41" t="e">
        <f>AND(#REF!,"AAAAAF50n1I=")</f>
        <v>#REF!</v>
      </c>
      <c r="CF41" t="e">
        <f>AND(#REF!,"AAAAAF50n1M=")</f>
        <v>#REF!</v>
      </c>
      <c r="CG41" t="e">
        <f>AND(#REF!,"AAAAAF50n1Q=")</f>
        <v>#REF!</v>
      </c>
      <c r="CH41" t="e">
        <f>AND(#REF!,"AAAAAF50n1U=")</f>
        <v>#REF!</v>
      </c>
      <c r="CI41" t="e">
        <f>AND(#REF!,"AAAAAF50n1Y=")</f>
        <v>#REF!</v>
      </c>
      <c r="CJ41" t="e">
        <f>AND(#REF!,"AAAAAF50n1c=")</f>
        <v>#REF!</v>
      </c>
      <c r="CK41" t="e">
        <f>AND(#REF!,"AAAAAF50n1g=")</f>
        <v>#REF!</v>
      </c>
      <c r="CL41" t="e">
        <f>AND(#REF!,"AAAAAF50n1k=")</f>
        <v>#REF!</v>
      </c>
      <c r="CM41" t="e">
        <f>AND(#REF!,"AAAAAF50n1o=")</f>
        <v>#REF!</v>
      </c>
      <c r="CN41" t="e">
        <f>AND(#REF!,"AAAAAF50n1s=")</f>
        <v>#REF!</v>
      </c>
      <c r="CO41" t="e">
        <f>AND(#REF!,"AAAAAF50n1w=")</f>
        <v>#REF!</v>
      </c>
      <c r="CP41" t="e">
        <f>AND(#REF!,"AAAAAF50n10=")</f>
        <v>#REF!</v>
      </c>
      <c r="CQ41" t="e">
        <f>AND(#REF!,"AAAAAF50n14=")</f>
        <v>#REF!</v>
      </c>
      <c r="CR41" t="e">
        <f>AND(#REF!,"AAAAAF50n18=")</f>
        <v>#REF!</v>
      </c>
      <c r="CS41" t="e">
        <f>AND(#REF!,"AAAAAF50n2A=")</f>
        <v>#REF!</v>
      </c>
      <c r="CT41" t="e">
        <f>AND(#REF!,"AAAAAF50n2E=")</f>
        <v>#REF!</v>
      </c>
      <c r="CU41" t="e">
        <f>AND(#REF!,"AAAAAF50n2I=")</f>
        <v>#REF!</v>
      </c>
      <c r="CV41" t="e">
        <f>AND(#REF!,"AAAAAF50n2M=")</f>
        <v>#REF!</v>
      </c>
      <c r="CW41" t="e">
        <f>AND(#REF!,"AAAAAF50n2Q=")</f>
        <v>#REF!</v>
      </c>
      <c r="CX41" t="e">
        <f>IF(#REF!,"AAAAAF50n2U=",0)</f>
        <v>#REF!</v>
      </c>
      <c r="CY41" t="e">
        <f>AND(#REF!,"AAAAAF50n2Y=")</f>
        <v>#REF!</v>
      </c>
      <c r="CZ41" t="e">
        <f>AND(#REF!,"AAAAAF50n2c=")</f>
        <v>#REF!</v>
      </c>
      <c r="DA41" t="e">
        <f>AND(#REF!,"AAAAAF50n2g=")</f>
        <v>#REF!</v>
      </c>
      <c r="DB41" t="e">
        <f>AND(#REF!,"AAAAAF50n2k=")</f>
        <v>#REF!</v>
      </c>
      <c r="DC41" t="e">
        <f>AND(#REF!,"AAAAAF50n2o=")</f>
        <v>#REF!</v>
      </c>
      <c r="DD41" t="e">
        <f>AND(#REF!,"AAAAAF50n2s=")</f>
        <v>#REF!</v>
      </c>
      <c r="DE41" t="e">
        <f>AND(#REF!,"AAAAAF50n2w=")</f>
        <v>#REF!</v>
      </c>
      <c r="DF41" t="e">
        <f>AND(#REF!,"AAAAAF50n20=")</f>
        <v>#REF!</v>
      </c>
      <c r="DG41" t="e">
        <f>AND(#REF!,"AAAAAF50n24=")</f>
        <v>#REF!</v>
      </c>
      <c r="DH41" t="e">
        <f>AND(#REF!,"AAAAAF50n28=")</f>
        <v>#REF!</v>
      </c>
      <c r="DI41" t="e">
        <f>AND(#REF!,"AAAAAF50n3A=")</f>
        <v>#REF!</v>
      </c>
      <c r="DJ41" t="e">
        <f>AND(#REF!,"AAAAAF50n3E=")</f>
        <v>#REF!</v>
      </c>
      <c r="DK41" t="e">
        <f>AND(#REF!,"AAAAAF50n3I=")</f>
        <v>#REF!</v>
      </c>
      <c r="DL41" t="e">
        <f>AND(#REF!,"AAAAAF50n3M=")</f>
        <v>#REF!</v>
      </c>
      <c r="DM41" t="e">
        <f>AND(#REF!,"AAAAAF50n3Q=")</f>
        <v>#REF!</v>
      </c>
      <c r="DN41" t="e">
        <f>AND(#REF!,"AAAAAF50n3U=")</f>
        <v>#REF!</v>
      </c>
      <c r="DO41" t="e">
        <f>AND(#REF!,"AAAAAF50n3Y=")</f>
        <v>#REF!</v>
      </c>
      <c r="DP41" t="e">
        <f>AND(#REF!,"AAAAAF50n3c=")</f>
        <v>#REF!</v>
      </c>
      <c r="DQ41" t="e">
        <f>AND(#REF!,"AAAAAF50n3g=")</f>
        <v>#REF!</v>
      </c>
      <c r="DR41" t="e">
        <f>AND(#REF!,"AAAAAF50n3k=")</f>
        <v>#REF!</v>
      </c>
      <c r="DS41" t="e">
        <f>AND(#REF!,"AAAAAF50n3o=")</f>
        <v>#REF!</v>
      </c>
      <c r="DT41" t="e">
        <f>AND(#REF!,"AAAAAF50n3s=")</f>
        <v>#REF!</v>
      </c>
      <c r="DU41" t="e">
        <f>AND(#REF!,"AAAAAF50n3w=")</f>
        <v>#REF!</v>
      </c>
      <c r="DV41" t="e">
        <f>IF(#REF!,"AAAAAF50n30=",0)</f>
        <v>#REF!</v>
      </c>
      <c r="DW41" t="e">
        <f>AND(#REF!,"AAAAAF50n34=")</f>
        <v>#REF!</v>
      </c>
      <c r="DX41" t="e">
        <f>AND(#REF!,"AAAAAF50n38=")</f>
        <v>#REF!</v>
      </c>
      <c r="DY41" t="e">
        <f>AND(#REF!,"AAAAAF50n4A=")</f>
        <v>#REF!</v>
      </c>
      <c r="DZ41" t="e">
        <f>AND(#REF!,"AAAAAF50n4E=")</f>
        <v>#REF!</v>
      </c>
      <c r="EA41" t="e">
        <f>AND(#REF!,"AAAAAF50n4I=")</f>
        <v>#REF!</v>
      </c>
      <c r="EB41" t="e">
        <f>AND(#REF!,"AAAAAF50n4M=")</f>
        <v>#REF!</v>
      </c>
      <c r="EC41" t="e">
        <f>AND(#REF!,"AAAAAF50n4Q=")</f>
        <v>#REF!</v>
      </c>
      <c r="ED41" t="e">
        <f>AND(#REF!,"AAAAAF50n4U=")</f>
        <v>#REF!</v>
      </c>
      <c r="EE41" t="e">
        <f>AND(#REF!,"AAAAAF50n4Y=")</f>
        <v>#REF!</v>
      </c>
      <c r="EF41" t="e">
        <f>AND(#REF!,"AAAAAF50n4c=")</f>
        <v>#REF!</v>
      </c>
      <c r="EG41" t="e">
        <f>AND(#REF!,"AAAAAF50n4g=")</f>
        <v>#REF!</v>
      </c>
      <c r="EH41" t="e">
        <f>AND(#REF!,"AAAAAF50n4k=")</f>
        <v>#REF!</v>
      </c>
      <c r="EI41" t="e">
        <f>AND(#REF!,"AAAAAF50n4o=")</f>
        <v>#REF!</v>
      </c>
      <c r="EJ41" t="e">
        <f>AND(#REF!,"AAAAAF50n4s=")</f>
        <v>#REF!</v>
      </c>
      <c r="EK41" t="e">
        <f>AND(#REF!,"AAAAAF50n4w=")</f>
        <v>#REF!</v>
      </c>
      <c r="EL41" t="e">
        <f>AND(#REF!,"AAAAAF50n40=")</f>
        <v>#REF!</v>
      </c>
      <c r="EM41" t="e">
        <f>AND(#REF!,"AAAAAF50n44=")</f>
        <v>#REF!</v>
      </c>
      <c r="EN41" t="e">
        <f>AND(#REF!,"AAAAAF50n48=")</f>
        <v>#REF!</v>
      </c>
      <c r="EO41" t="e">
        <f>AND(#REF!,"AAAAAF50n5A=")</f>
        <v>#REF!</v>
      </c>
      <c r="EP41" t="e">
        <f>AND(#REF!,"AAAAAF50n5E=")</f>
        <v>#REF!</v>
      </c>
      <c r="EQ41" t="e">
        <f>AND(#REF!,"AAAAAF50n5I=")</f>
        <v>#REF!</v>
      </c>
      <c r="ER41" t="e">
        <f>AND(#REF!,"AAAAAF50n5M=")</f>
        <v>#REF!</v>
      </c>
      <c r="ES41" t="e">
        <f>AND(#REF!,"AAAAAF50n5Q=")</f>
        <v>#REF!</v>
      </c>
      <c r="ET41" t="e">
        <f>IF(#REF!,"AAAAAF50n5U=",0)</f>
        <v>#REF!</v>
      </c>
      <c r="EU41" t="e">
        <f>AND(#REF!,"AAAAAF50n5Y=")</f>
        <v>#REF!</v>
      </c>
      <c r="EV41" t="e">
        <f>AND(#REF!,"AAAAAF50n5c=")</f>
        <v>#REF!</v>
      </c>
      <c r="EW41" t="e">
        <f>AND(#REF!,"AAAAAF50n5g=")</f>
        <v>#REF!</v>
      </c>
      <c r="EX41" t="e">
        <f>AND(#REF!,"AAAAAF50n5k=")</f>
        <v>#REF!</v>
      </c>
      <c r="EY41" t="e">
        <f>AND(#REF!,"AAAAAF50n5o=")</f>
        <v>#REF!</v>
      </c>
      <c r="EZ41" t="e">
        <f>AND(#REF!,"AAAAAF50n5s=")</f>
        <v>#REF!</v>
      </c>
      <c r="FA41" t="e">
        <f>AND(#REF!,"AAAAAF50n5w=")</f>
        <v>#REF!</v>
      </c>
      <c r="FB41" t="e">
        <f>AND(#REF!,"AAAAAF50n50=")</f>
        <v>#REF!</v>
      </c>
      <c r="FC41" t="e">
        <f>AND(#REF!,"AAAAAF50n54=")</f>
        <v>#REF!</v>
      </c>
      <c r="FD41" t="e">
        <f>AND(#REF!,"AAAAAF50n58=")</f>
        <v>#REF!</v>
      </c>
      <c r="FE41" t="e">
        <f>AND(#REF!,"AAAAAF50n6A=")</f>
        <v>#REF!</v>
      </c>
      <c r="FF41" t="e">
        <f>AND(#REF!,"AAAAAF50n6E=")</f>
        <v>#REF!</v>
      </c>
      <c r="FG41" t="e">
        <f>AND(#REF!,"AAAAAF50n6I=")</f>
        <v>#REF!</v>
      </c>
      <c r="FH41" t="e">
        <f>AND(#REF!,"AAAAAF50n6M=")</f>
        <v>#REF!</v>
      </c>
      <c r="FI41" t="e">
        <f>AND(#REF!,"AAAAAF50n6Q=")</f>
        <v>#REF!</v>
      </c>
      <c r="FJ41" t="e">
        <f>AND(#REF!,"AAAAAF50n6U=")</f>
        <v>#REF!</v>
      </c>
      <c r="FK41" t="e">
        <f>AND(#REF!,"AAAAAF50n6Y=")</f>
        <v>#REF!</v>
      </c>
      <c r="FL41" t="e">
        <f>AND(#REF!,"AAAAAF50n6c=")</f>
        <v>#REF!</v>
      </c>
      <c r="FM41" t="e">
        <f>AND(#REF!,"AAAAAF50n6g=")</f>
        <v>#REF!</v>
      </c>
      <c r="FN41" t="e">
        <f>AND(#REF!,"AAAAAF50n6k=")</f>
        <v>#REF!</v>
      </c>
      <c r="FO41" t="e">
        <f>AND(#REF!,"AAAAAF50n6o=")</f>
        <v>#REF!</v>
      </c>
      <c r="FP41" t="e">
        <f>AND(#REF!,"AAAAAF50n6s=")</f>
        <v>#REF!</v>
      </c>
      <c r="FQ41" t="e">
        <f>AND(#REF!,"AAAAAF50n6w=")</f>
        <v>#REF!</v>
      </c>
      <c r="FR41" t="e">
        <f>IF(#REF!,"AAAAAF50n60=",0)</f>
        <v>#REF!</v>
      </c>
      <c r="FS41" t="e">
        <f>AND(#REF!,"AAAAAF50n64=")</f>
        <v>#REF!</v>
      </c>
      <c r="FT41" t="e">
        <f>AND(#REF!,"AAAAAF50n68=")</f>
        <v>#REF!</v>
      </c>
      <c r="FU41" t="e">
        <f>AND(#REF!,"AAAAAF50n7A=")</f>
        <v>#REF!</v>
      </c>
      <c r="FV41" t="e">
        <f>AND(#REF!,"AAAAAF50n7E=")</f>
        <v>#REF!</v>
      </c>
      <c r="FW41" t="e">
        <f>AND(#REF!,"AAAAAF50n7I=")</f>
        <v>#REF!</v>
      </c>
      <c r="FX41" t="e">
        <f>AND(#REF!,"AAAAAF50n7M=")</f>
        <v>#REF!</v>
      </c>
      <c r="FY41" t="e">
        <f>AND(#REF!,"AAAAAF50n7Q=")</f>
        <v>#REF!</v>
      </c>
      <c r="FZ41" t="e">
        <f>AND(#REF!,"AAAAAF50n7U=")</f>
        <v>#REF!</v>
      </c>
      <c r="GA41" t="e">
        <f>AND(#REF!,"AAAAAF50n7Y=")</f>
        <v>#REF!</v>
      </c>
      <c r="GB41" t="e">
        <f>AND(#REF!,"AAAAAF50n7c=")</f>
        <v>#REF!</v>
      </c>
      <c r="GC41" t="e">
        <f>AND(#REF!,"AAAAAF50n7g=")</f>
        <v>#REF!</v>
      </c>
      <c r="GD41" t="e">
        <f>AND(#REF!,"AAAAAF50n7k=")</f>
        <v>#REF!</v>
      </c>
      <c r="GE41" t="e">
        <f>AND(#REF!,"AAAAAF50n7o=")</f>
        <v>#REF!</v>
      </c>
      <c r="GF41" t="e">
        <f>AND(#REF!,"AAAAAF50n7s=")</f>
        <v>#REF!</v>
      </c>
      <c r="GG41" t="e">
        <f>AND(#REF!,"AAAAAF50n7w=")</f>
        <v>#REF!</v>
      </c>
      <c r="GH41" t="e">
        <f>AND(#REF!,"AAAAAF50n70=")</f>
        <v>#REF!</v>
      </c>
      <c r="GI41" t="e">
        <f>AND(#REF!,"AAAAAF50n74=")</f>
        <v>#REF!</v>
      </c>
      <c r="GJ41" t="e">
        <f>AND(#REF!,"AAAAAF50n78=")</f>
        <v>#REF!</v>
      </c>
      <c r="GK41" t="e">
        <f>AND(#REF!,"AAAAAF50n8A=")</f>
        <v>#REF!</v>
      </c>
      <c r="GL41" t="e">
        <f>AND(#REF!,"AAAAAF50n8E=")</f>
        <v>#REF!</v>
      </c>
      <c r="GM41" t="e">
        <f>AND(#REF!,"AAAAAF50n8I=")</f>
        <v>#REF!</v>
      </c>
      <c r="GN41" t="e">
        <f>AND(#REF!,"AAAAAF50n8M=")</f>
        <v>#REF!</v>
      </c>
      <c r="GO41" t="e">
        <f>AND(#REF!,"AAAAAF50n8Q=")</f>
        <v>#REF!</v>
      </c>
      <c r="GP41" t="e">
        <f>IF(#REF!,"AAAAAF50n8U=",0)</f>
        <v>#REF!</v>
      </c>
      <c r="GQ41" t="e">
        <f>AND(#REF!,"AAAAAF50n8Y=")</f>
        <v>#REF!</v>
      </c>
      <c r="GR41" t="e">
        <f>AND(#REF!,"AAAAAF50n8c=")</f>
        <v>#REF!</v>
      </c>
      <c r="GS41" t="e">
        <f>AND(#REF!,"AAAAAF50n8g=")</f>
        <v>#REF!</v>
      </c>
      <c r="GT41" t="e">
        <f>AND(#REF!,"AAAAAF50n8k=")</f>
        <v>#REF!</v>
      </c>
      <c r="GU41" t="e">
        <f>AND(#REF!,"AAAAAF50n8o=")</f>
        <v>#REF!</v>
      </c>
      <c r="GV41" t="e">
        <f>AND(#REF!,"AAAAAF50n8s=")</f>
        <v>#REF!</v>
      </c>
      <c r="GW41" t="e">
        <f>AND(#REF!,"AAAAAF50n8w=")</f>
        <v>#REF!</v>
      </c>
      <c r="GX41" t="e">
        <f>AND(#REF!,"AAAAAF50n80=")</f>
        <v>#REF!</v>
      </c>
      <c r="GY41" t="e">
        <f>AND(#REF!,"AAAAAF50n84=")</f>
        <v>#REF!</v>
      </c>
      <c r="GZ41" t="e">
        <f>AND(#REF!,"AAAAAF50n88=")</f>
        <v>#REF!</v>
      </c>
      <c r="HA41" t="e">
        <f>AND(#REF!,"AAAAAF50n9A=")</f>
        <v>#REF!</v>
      </c>
      <c r="HB41" t="e">
        <f>AND(#REF!,"AAAAAF50n9E=")</f>
        <v>#REF!</v>
      </c>
      <c r="HC41" t="e">
        <f>AND(#REF!,"AAAAAF50n9I=")</f>
        <v>#REF!</v>
      </c>
      <c r="HD41" t="e">
        <f>AND(#REF!,"AAAAAF50n9M=")</f>
        <v>#REF!</v>
      </c>
      <c r="HE41" t="e">
        <f>AND(#REF!,"AAAAAF50n9Q=")</f>
        <v>#REF!</v>
      </c>
      <c r="HF41" t="e">
        <f>AND(#REF!,"AAAAAF50n9U=")</f>
        <v>#REF!</v>
      </c>
      <c r="HG41" t="e">
        <f>AND(#REF!,"AAAAAF50n9Y=")</f>
        <v>#REF!</v>
      </c>
      <c r="HH41" t="e">
        <f>AND(#REF!,"AAAAAF50n9c=")</f>
        <v>#REF!</v>
      </c>
      <c r="HI41" t="e">
        <f>AND(#REF!,"AAAAAF50n9g=")</f>
        <v>#REF!</v>
      </c>
      <c r="HJ41" t="e">
        <f>AND(#REF!,"AAAAAF50n9k=")</f>
        <v>#REF!</v>
      </c>
      <c r="HK41" t="e">
        <f>AND(#REF!,"AAAAAF50n9o=")</f>
        <v>#REF!</v>
      </c>
      <c r="HL41" t="e">
        <f>AND(#REF!,"AAAAAF50n9s=")</f>
        <v>#REF!</v>
      </c>
      <c r="HM41" t="e">
        <f>AND(#REF!,"AAAAAF50n9w=")</f>
        <v>#REF!</v>
      </c>
      <c r="HN41" t="e">
        <f>IF(#REF!,"AAAAAF50n90=",0)</f>
        <v>#REF!</v>
      </c>
      <c r="HO41" t="e">
        <f>AND(#REF!,"AAAAAF50n94=")</f>
        <v>#REF!</v>
      </c>
      <c r="HP41" t="e">
        <f>AND(#REF!,"AAAAAF50n98=")</f>
        <v>#REF!</v>
      </c>
      <c r="HQ41" t="e">
        <f>AND(#REF!,"AAAAAF50n+A=")</f>
        <v>#REF!</v>
      </c>
      <c r="HR41" t="e">
        <f>AND(#REF!,"AAAAAF50n+E=")</f>
        <v>#REF!</v>
      </c>
      <c r="HS41" t="e">
        <f>AND(#REF!,"AAAAAF50n+I=")</f>
        <v>#REF!</v>
      </c>
      <c r="HT41" t="e">
        <f>AND(#REF!,"AAAAAF50n+M=")</f>
        <v>#REF!</v>
      </c>
      <c r="HU41" t="e">
        <f>AND(#REF!,"AAAAAF50n+Q=")</f>
        <v>#REF!</v>
      </c>
      <c r="HV41" t="e">
        <f>AND(#REF!,"AAAAAF50n+U=")</f>
        <v>#REF!</v>
      </c>
      <c r="HW41" t="e">
        <f>AND(#REF!,"AAAAAF50n+Y=")</f>
        <v>#REF!</v>
      </c>
      <c r="HX41" t="e">
        <f>AND(#REF!,"AAAAAF50n+c=")</f>
        <v>#REF!</v>
      </c>
      <c r="HY41" t="e">
        <f>AND(#REF!,"AAAAAF50n+g=")</f>
        <v>#REF!</v>
      </c>
      <c r="HZ41" t="e">
        <f>AND(#REF!,"AAAAAF50n+k=")</f>
        <v>#REF!</v>
      </c>
      <c r="IA41" t="e">
        <f>AND(#REF!,"AAAAAF50n+o=")</f>
        <v>#REF!</v>
      </c>
      <c r="IB41" t="e">
        <f>AND(#REF!,"AAAAAF50n+s=")</f>
        <v>#REF!</v>
      </c>
      <c r="IC41" t="e">
        <f>AND(#REF!,"AAAAAF50n+w=")</f>
        <v>#REF!</v>
      </c>
      <c r="ID41" t="e">
        <f>AND(#REF!,"AAAAAF50n+0=")</f>
        <v>#REF!</v>
      </c>
      <c r="IE41" t="e">
        <f>AND(#REF!,"AAAAAF50n+4=")</f>
        <v>#REF!</v>
      </c>
      <c r="IF41" t="e">
        <f>AND(#REF!,"AAAAAF50n+8=")</f>
        <v>#REF!</v>
      </c>
      <c r="IG41" t="e">
        <f>AND(#REF!,"AAAAAF50n/A=")</f>
        <v>#REF!</v>
      </c>
      <c r="IH41" t="e">
        <f>AND(#REF!,"AAAAAF50n/E=")</f>
        <v>#REF!</v>
      </c>
      <c r="II41" t="e">
        <f>AND(#REF!,"AAAAAF50n/I=")</f>
        <v>#REF!</v>
      </c>
      <c r="IJ41" t="e">
        <f>AND(#REF!,"AAAAAF50n/M=")</f>
        <v>#REF!</v>
      </c>
      <c r="IK41" t="e">
        <f>AND(#REF!,"AAAAAF50n/Q=")</f>
        <v>#REF!</v>
      </c>
      <c r="IL41" t="e">
        <f>IF(#REF!,"AAAAAF50n/U=",0)</f>
        <v>#REF!</v>
      </c>
      <c r="IM41" t="e">
        <f>AND(#REF!,"AAAAAF50n/Y=")</f>
        <v>#REF!</v>
      </c>
      <c r="IN41" t="e">
        <f>AND(#REF!,"AAAAAF50n/c=")</f>
        <v>#REF!</v>
      </c>
      <c r="IO41" t="e">
        <f>AND(#REF!,"AAAAAF50n/g=")</f>
        <v>#REF!</v>
      </c>
      <c r="IP41" t="e">
        <f>AND(#REF!,"AAAAAF50n/k=")</f>
        <v>#REF!</v>
      </c>
      <c r="IQ41" t="e">
        <f>AND(#REF!,"AAAAAF50n/o=")</f>
        <v>#REF!</v>
      </c>
      <c r="IR41" t="e">
        <f>AND(#REF!,"AAAAAF50n/s=")</f>
        <v>#REF!</v>
      </c>
      <c r="IS41" t="e">
        <f>AND(#REF!,"AAAAAF50n/w=")</f>
        <v>#REF!</v>
      </c>
      <c r="IT41" t="e">
        <f>AND(#REF!,"AAAAAF50n/0=")</f>
        <v>#REF!</v>
      </c>
      <c r="IU41" t="e">
        <f>AND(#REF!,"AAAAAF50n/4=")</f>
        <v>#REF!</v>
      </c>
      <c r="IV41" t="e">
        <f>AND(#REF!,"AAAAAF50n/8=")</f>
        <v>#REF!</v>
      </c>
    </row>
    <row r="42" spans="1:256" x14ac:dyDescent="0.25">
      <c r="A42" t="e">
        <f>AND(#REF!,"AAAAAH/9tAA=")</f>
        <v>#REF!</v>
      </c>
      <c r="B42" t="e">
        <f>AND(#REF!,"AAAAAH/9tAE=")</f>
        <v>#REF!</v>
      </c>
      <c r="C42" t="e">
        <f>AND(#REF!,"AAAAAH/9tAI=")</f>
        <v>#REF!</v>
      </c>
      <c r="D42" t="e">
        <f>AND(#REF!,"AAAAAH/9tAM=")</f>
        <v>#REF!</v>
      </c>
      <c r="E42" t="e">
        <f>AND(#REF!,"AAAAAH/9tAQ=")</f>
        <v>#REF!</v>
      </c>
      <c r="F42" t="e">
        <f>AND(#REF!,"AAAAAH/9tAU=")</f>
        <v>#REF!</v>
      </c>
      <c r="G42" t="e">
        <f>AND(#REF!,"AAAAAH/9tAY=")</f>
        <v>#REF!</v>
      </c>
      <c r="H42" t="e">
        <f>AND(#REF!,"AAAAAH/9tAc=")</f>
        <v>#REF!</v>
      </c>
      <c r="I42" t="e">
        <f>AND(#REF!,"AAAAAH/9tAg=")</f>
        <v>#REF!</v>
      </c>
      <c r="J42" t="e">
        <f>AND(#REF!,"AAAAAH/9tAk=")</f>
        <v>#REF!</v>
      </c>
      <c r="K42" t="e">
        <f>AND(#REF!,"AAAAAH/9tAo=")</f>
        <v>#REF!</v>
      </c>
      <c r="L42" t="e">
        <f>AND(#REF!,"AAAAAH/9tAs=")</f>
        <v>#REF!</v>
      </c>
      <c r="M42" t="e">
        <f>AND(#REF!,"AAAAAH/9tAw=")</f>
        <v>#REF!</v>
      </c>
      <c r="N42" t="e">
        <f>IF(#REF!,"AAAAAH/9tA0=",0)</f>
        <v>#REF!</v>
      </c>
      <c r="O42" t="e">
        <f>AND(#REF!,"AAAAAH/9tA4=")</f>
        <v>#REF!</v>
      </c>
      <c r="P42" t="e">
        <f>AND(#REF!,"AAAAAH/9tA8=")</f>
        <v>#REF!</v>
      </c>
      <c r="Q42" t="e">
        <f>AND(#REF!,"AAAAAH/9tBA=")</f>
        <v>#REF!</v>
      </c>
      <c r="R42" t="e">
        <f>AND(#REF!,"AAAAAH/9tBE=")</f>
        <v>#REF!</v>
      </c>
      <c r="S42" t="e">
        <f>AND(#REF!,"AAAAAH/9tBI=")</f>
        <v>#REF!</v>
      </c>
      <c r="T42" t="e">
        <f>AND(#REF!,"AAAAAH/9tBM=")</f>
        <v>#REF!</v>
      </c>
      <c r="U42" t="e">
        <f>AND(#REF!,"AAAAAH/9tBQ=")</f>
        <v>#REF!</v>
      </c>
      <c r="V42" t="e">
        <f>AND(#REF!,"AAAAAH/9tBU=")</f>
        <v>#REF!</v>
      </c>
      <c r="W42" t="e">
        <f>AND(#REF!,"AAAAAH/9tBY=")</f>
        <v>#REF!</v>
      </c>
      <c r="X42" t="e">
        <f>AND(#REF!,"AAAAAH/9tBc=")</f>
        <v>#REF!</v>
      </c>
      <c r="Y42" t="e">
        <f>AND(#REF!,"AAAAAH/9tBg=")</f>
        <v>#REF!</v>
      </c>
      <c r="Z42" t="e">
        <f>AND(#REF!,"AAAAAH/9tBk=")</f>
        <v>#REF!</v>
      </c>
      <c r="AA42" t="e">
        <f>AND(#REF!,"AAAAAH/9tBo=")</f>
        <v>#REF!</v>
      </c>
      <c r="AB42" t="e">
        <f>AND(#REF!,"AAAAAH/9tBs=")</f>
        <v>#REF!</v>
      </c>
      <c r="AC42" t="e">
        <f>AND(#REF!,"AAAAAH/9tBw=")</f>
        <v>#REF!</v>
      </c>
      <c r="AD42" t="e">
        <f>AND(#REF!,"AAAAAH/9tB0=")</f>
        <v>#REF!</v>
      </c>
      <c r="AE42" t="e">
        <f>AND(#REF!,"AAAAAH/9tB4=")</f>
        <v>#REF!</v>
      </c>
      <c r="AF42" t="e">
        <f>AND(#REF!,"AAAAAH/9tB8=")</f>
        <v>#REF!</v>
      </c>
      <c r="AG42" t="e">
        <f>AND(#REF!,"AAAAAH/9tCA=")</f>
        <v>#REF!</v>
      </c>
      <c r="AH42" t="e">
        <f>AND(#REF!,"AAAAAH/9tCE=")</f>
        <v>#REF!</v>
      </c>
      <c r="AI42" t="e">
        <f>AND(#REF!,"AAAAAH/9tCI=")</f>
        <v>#REF!</v>
      </c>
      <c r="AJ42" t="e">
        <f>AND(#REF!,"AAAAAH/9tCM=")</f>
        <v>#REF!</v>
      </c>
      <c r="AK42" t="e">
        <f>AND(#REF!,"AAAAAH/9tCQ=")</f>
        <v>#REF!</v>
      </c>
      <c r="AL42" t="e">
        <f>IF(#REF!,"AAAAAH/9tCU=",0)</f>
        <v>#REF!</v>
      </c>
      <c r="AM42" t="e">
        <f>AND(#REF!,"AAAAAH/9tCY=")</f>
        <v>#REF!</v>
      </c>
      <c r="AN42" t="e">
        <f>AND(#REF!,"AAAAAH/9tCc=")</f>
        <v>#REF!</v>
      </c>
      <c r="AO42" t="e">
        <f>AND(#REF!,"AAAAAH/9tCg=")</f>
        <v>#REF!</v>
      </c>
      <c r="AP42" t="e">
        <f>AND(#REF!,"AAAAAH/9tCk=")</f>
        <v>#REF!</v>
      </c>
      <c r="AQ42" t="e">
        <f>AND(#REF!,"AAAAAH/9tCo=")</f>
        <v>#REF!</v>
      </c>
      <c r="AR42" t="e">
        <f>AND(#REF!,"AAAAAH/9tCs=")</f>
        <v>#REF!</v>
      </c>
      <c r="AS42" t="e">
        <f>AND(#REF!,"AAAAAH/9tCw=")</f>
        <v>#REF!</v>
      </c>
      <c r="AT42" t="e">
        <f>AND(#REF!,"AAAAAH/9tC0=")</f>
        <v>#REF!</v>
      </c>
      <c r="AU42" t="e">
        <f>AND(#REF!,"AAAAAH/9tC4=")</f>
        <v>#REF!</v>
      </c>
      <c r="AV42" t="e">
        <f>AND(#REF!,"AAAAAH/9tC8=")</f>
        <v>#REF!</v>
      </c>
      <c r="AW42" t="e">
        <f>AND(#REF!,"AAAAAH/9tDA=")</f>
        <v>#REF!</v>
      </c>
      <c r="AX42" t="e">
        <f>AND(#REF!,"AAAAAH/9tDE=")</f>
        <v>#REF!</v>
      </c>
      <c r="AY42" t="e">
        <f>AND(#REF!,"AAAAAH/9tDI=")</f>
        <v>#REF!</v>
      </c>
      <c r="AZ42" t="e">
        <f>AND(#REF!,"AAAAAH/9tDM=")</f>
        <v>#REF!</v>
      </c>
      <c r="BA42" t="e">
        <f>AND(#REF!,"AAAAAH/9tDQ=")</f>
        <v>#REF!</v>
      </c>
      <c r="BB42" t="e">
        <f>AND(#REF!,"AAAAAH/9tDU=")</f>
        <v>#REF!</v>
      </c>
      <c r="BC42" t="e">
        <f>AND(#REF!,"AAAAAH/9tDY=")</f>
        <v>#REF!</v>
      </c>
      <c r="BD42" t="e">
        <f>AND(#REF!,"AAAAAH/9tDc=")</f>
        <v>#REF!</v>
      </c>
      <c r="BE42" t="e">
        <f>AND(#REF!,"AAAAAH/9tDg=")</f>
        <v>#REF!</v>
      </c>
      <c r="BF42" t="e">
        <f>AND(#REF!,"AAAAAH/9tDk=")</f>
        <v>#REF!</v>
      </c>
      <c r="BG42" t="e">
        <f>AND(#REF!,"AAAAAH/9tDo=")</f>
        <v>#REF!</v>
      </c>
      <c r="BH42" t="e">
        <f>AND(#REF!,"AAAAAH/9tDs=")</f>
        <v>#REF!</v>
      </c>
      <c r="BI42" t="e">
        <f>AND(#REF!,"AAAAAH/9tDw=")</f>
        <v>#REF!</v>
      </c>
      <c r="BJ42" t="e">
        <f>IF(#REF!,"AAAAAH/9tD0=",0)</f>
        <v>#REF!</v>
      </c>
      <c r="BK42" t="e">
        <f>AND(#REF!,"AAAAAH/9tD4=")</f>
        <v>#REF!</v>
      </c>
      <c r="BL42" t="e">
        <f>AND(#REF!,"AAAAAH/9tD8=")</f>
        <v>#REF!</v>
      </c>
      <c r="BM42" t="e">
        <f>AND(#REF!,"AAAAAH/9tEA=")</f>
        <v>#REF!</v>
      </c>
      <c r="BN42" t="e">
        <f>AND(#REF!,"AAAAAH/9tEE=")</f>
        <v>#REF!</v>
      </c>
      <c r="BO42" t="e">
        <f>AND(#REF!,"AAAAAH/9tEI=")</f>
        <v>#REF!</v>
      </c>
      <c r="BP42" t="e">
        <f>AND(#REF!,"AAAAAH/9tEM=")</f>
        <v>#REF!</v>
      </c>
      <c r="BQ42" t="e">
        <f>AND(#REF!,"AAAAAH/9tEQ=")</f>
        <v>#REF!</v>
      </c>
      <c r="BR42" t="e">
        <f>AND(#REF!,"AAAAAH/9tEU=")</f>
        <v>#REF!</v>
      </c>
      <c r="BS42" t="e">
        <f>AND(#REF!,"AAAAAH/9tEY=")</f>
        <v>#REF!</v>
      </c>
      <c r="BT42" t="e">
        <f>AND(#REF!,"AAAAAH/9tEc=")</f>
        <v>#REF!</v>
      </c>
      <c r="BU42" t="e">
        <f>AND(#REF!,"AAAAAH/9tEg=")</f>
        <v>#REF!</v>
      </c>
      <c r="BV42" t="e">
        <f>AND(#REF!,"AAAAAH/9tEk=")</f>
        <v>#REF!</v>
      </c>
      <c r="BW42" t="e">
        <f>AND(#REF!,"AAAAAH/9tEo=")</f>
        <v>#REF!</v>
      </c>
      <c r="BX42" t="e">
        <f>AND(#REF!,"AAAAAH/9tEs=")</f>
        <v>#REF!</v>
      </c>
      <c r="BY42" t="e">
        <f>AND(#REF!,"AAAAAH/9tEw=")</f>
        <v>#REF!</v>
      </c>
      <c r="BZ42" t="e">
        <f>AND(#REF!,"AAAAAH/9tE0=")</f>
        <v>#REF!</v>
      </c>
      <c r="CA42" t="e">
        <f>AND(#REF!,"AAAAAH/9tE4=")</f>
        <v>#REF!</v>
      </c>
      <c r="CB42" t="e">
        <f>AND(#REF!,"AAAAAH/9tE8=")</f>
        <v>#REF!</v>
      </c>
      <c r="CC42" t="e">
        <f>AND(#REF!,"AAAAAH/9tFA=")</f>
        <v>#REF!</v>
      </c>
      <c r="CD42" t="e">
        <f>AND(#REF!,"AAAAAH/9tFE=")</f>
        <v>#REF!</v>
      </c>
      <c r="CE42" t="e">
        <f>AND(#REF!,"AAAAAH/9tFI=")</f>
        <v>#REF!</v>
      </c>
      <c r="CF42" t="e">
        <f>AND(#REF!,"AAAAAH/9tFM=")</f>
        <v>#REF!</v>
      </c>
      <c r="CG42" t="e">
        <f>AND(#REF!,"AAAAAH/9tFQ=")</f>
        <v>#REF!</v>
      </c>
      <c r="CH42" t="e">
        <f>IF(#REF!,"AAAAAH/9tFU=",0)</f>
        <v>#REF!</v>
      </c>
      <c r="CI42" t="e">
        <f>AND(#REF!,"AAAAAH/9tFY=")</f>
        <v>#REF!</v>
      </c>
      <c r="CJ42" t="e">
        <f>AND(#REF!,"AAAAAH/9tFc=")</f>
        <v>#REF!</v>
      </c>
      <c r="CK42" t="e">
        <f>AND(#REF!,"AAAAAH/9tFg=")</f>
        <v>#REF!</v>
      </c>
      <c r="CL42" t="e">
        <f>AND(#REF!,"AAAAAH/9tFk=")</f>
        <v>#REF!</v>
      </c>
      <c r="CM42" t="e">
        <f>AND(#REF!,"AAAAAH/9tFo=")</f>
        <v>#REF!</v>
      </c>
      <c r="CN42" t="e">
        <f>AND(#REF!,"AAAAAH/9tFs=")</f>
        <v>#REF!</v>
      </c>
      <c r="CO42" t="e">
        <f>AND(#REF!,"AAAAAH/9tFw=")</f>
        <v>#REF!</v>
      </c>
      <c r="CP42" t="e">
        <f>AND(#REF!,"AAAAAH/9tF0=")</f>
        <v>#REF!</v>
      </c>
      <c r="CQ42" t="e">
        <f>AND(#REF!,"AAAAAH/9tF4=")</f>
        <v>#REF!</v>
      </c>
      <c r="CR42" t="e">
        <f>AND(#REF!,"AAAAAH/9tF8=")</f>
        <v>#REF!</v>
      </c>
      <c r="CS42" t="e">
        <f>AND(#REF!,"AAAAAH/9tGA=")</f>
        <v>#REF!</v>
      </c>
      <c r="CT42" t="e">
        <f>AND(#REF!,"AAAAAH/9tGE=")</f>
        <v>#REF!</v>
      </c>
      <c r="CU42" t="e">
        <f>AND(#REF!,"AAAAAH/9tGI=")</f>
        <v>#REF!</v>
      </c>
      <c r="CV42" t="e">
        <f>AND(#REF!,"AAAAAH/9tGM=")</f>
        <v>#REF!</v>
      </c>
      <c r="CW42" t="e">
        <f>AND(#REF!,"AAAAAH/9tGQ=")</f>
        <v>#REF!</v>
      </c>
      <c r="CX42" t="e">
        <f>AND(#REF!,"AAAAAH/9tGU=")</f>
        <v>#REF!</v>
      </c>
      <c r="CY42" t="e">
        <f>AND(#REF!,"AAAAAH/9tGY=")</f>
        <v>#REF!</v>
      </c>
      <c r="CZ42" t="e">
        <f>AND(#REF!,"AAAAAH/9tGc=")</f>
        <v>#REF!</v>
      </c>
      <c r="DA42" t="e">
        <f>AND(#REF!,"AAAAAH/9tGg=")</f>
        <v>#REF!</v>
      </c>
      <c r="DB42" t="e">
        <f>AND(#REF!,"AAAAAH/9tGk=")</f>
        <v>#REF!</v>
      </c>
      <c r="DC42" t="e">
        <f>AND(#REF!,"AAAAAH/9tGo=")</f>
        <v>#REF!</v>
      </c>
      <c r="DD42" t="e">
        <f>AND(#REF!,"AAAAAH/9tGs=")</f>
        <v>#REF!</v>
      </c>
      <c r="DE42" t="e">
        <f>AND(#REF!,"AAAAAH/9tGw=")</f>
        <v>#REF!</v>
      </c>
      <c r="DF42" t="e">
        <f>IF(#REF!,"AAAAAH/9tG0=",0)</f>
        <v>#REF!</v>
      </c>
      <c r="DG42" t="e">
        <f>AND(#REF!,"AAAAAH/9tG4=")</f>
        <v>#REF!</v>
      </c>
      <c r="DH42" t="e">
        <f>AND(#REF!,"AAAAAH/9tG8=")</f>
        <v>#REF!</v>
      </c>
      <c r="DI42" t="e">
        <f>AND(#REF!,"AAAAAH/9tHA=")</f>
        <v>#REF!</v>
      </c>
      <c r="DJ42" t="e">
        <f>AND(#REF!,"AAAAAH/9tHE=")</f>
        <v>#REF!</v>
      </c>
      <c r="DK42" t="e">
        <f>AND(#REF!,"AAAAAH/9tHI=")</f>
        <v>#REF!</v>
      </c>
      <c r="DL42" t="e">
        <f>AND(#REF!,"AAAAAH/9tHM=")</f>
        <v>#REF!</v>
      </c>
      <c r="DM42" t="e">
        <f>AND(#REF!,"AAAAAH/9tHQ=")</f>
        <v>#REF!</v>
      </c>
      <c r="DN42" t="e">
        <f>AND(#REF!,"AAAAAH/9tHU=")</f>
        <v>#REF!</v>
      </c>
      <c r="DO42" t="e">
        <f>AND(#REF!,"AAAAAH/9tHY=")</f>
        <v>#REF!</v>
      </c>
      <c r="DP42" t="e">
        <f>AND(#REF!,"AAAAAH/9tHc=")</f>
        <v>#REF!</v>
      </c>
      <c r="DQ42" t="e">
        <f>AND(#REF!,"AAAAAH/9tHg=")</f>
        <v>#REF!</v>
      </c>
      <c r="DR42" t="e">
        <f>AND(#REF!,"AAAAAH/9tHk=")</f>
        <v>#REF!</v>
      </c>
      <c r="DS42" t="e">
        <f>AND(#REF!,"AAAAAH/9tHo=")</f>
        <v>#REF!</v>
      </c>
      <c r="DT42" t="e">
        <f>AND(#REF!,"AAAAAH/9tHs=")</f>
        <v>#REF!</v>
      </c>
      <c r="DU42" t="e">
        <f>AND(#REF!,"AAAAAH/9tHw=")</f>
        <v>#REF!</v>
      </c>
      <c r="DV42" t="e">
        <f>AND(#REF!,"AAAAAH/9tH0=")</f>
        <v>#REF!</v>
      </c>
      <c r="DW42" t="e">
        <f>AND(#REF!,"AAAAAH/9tH4=")</f>
        <v>#REF!</v>
      </c>
      <c r="DX42" t="e">
        <f>AND(#REF!,"AAAAAH/9tH8=")</f>
        <v>#REF!</v>
      </c>
      <c r="DY42" t="e">
        <f>AND(#REF!,"AAAAAH/9tIA=")</f>
        <v>#REF!</v>
      </c>
      <c r="DZ42" t="e">
        <f>AND(#REF!,"AAAAAH/9tIE=")</f>
        <v>#REF!</v>
      </c>
      <c r="EA42" t="e">
        <f>AND(#REF!,"AAAAAH/9tII=")</f>
        <v>#REF!</v>
      </c>
      <c r="EB42" t="e">
        <f>AND(#REF!,"AAAAAH/9tIM=")</f>
        <v>#REF!</v>
      </c>
      <c r="EC42" t="e">
        <f>AND(#REF!,"AAAAAH/9tIQ=")</f>
        <v>#REF!</v>
      </c>
      <c r="ED42" t="e">
        <f>IF(#REF!,"AAAAAH/9tIU=",0)</f>
        <v>#REF!</v>
      </c>
      <c r="EE42" t="e">
        <f>AND(#REF!,"AAAAAH/9tIY=")</f>
        <v>#REF!</v>
      </c>
      <c r="EF42" t="e">
        <f>AND(#REF!,"AAAAAH/9tIc=")</f>
        <v>#REF!</v>
      </c>
      <c r="EG42" t="e">
        <f>AND(#REF!,"AAAAAH/9tIg=")</f>
        <v>#REF!</v>
      </c>
      <c r="EH42" t="e">
        <f>AND(#REF!,"AAAAAH/9tIk=")</f>
        <v>#REF!</v>
      </c>
      <c r="EI42" t="e">
        <f>AND(#REF!,"AAAAAH/9tIo=")</f>
        <v>#REF!</v>
      </c>
      <c r="EJ42" t="e">
        <f>AND(#REF!,"AAAAAH/9tIs=")</f>
        <v>#REF!</v>
      </c>
      <c r="EK42" t="e">
        <f>AND(#REF!,"AAAAAH/9tIw=")</f>
        <v>#REF!</v>
      </c>
      <c r="EL42" t="e">
        <f>AND(#REF!,"AAAAAH/9tI0=")</f>
        <v>#REF!</v>
      </c>
      <c r="EM42" t="e">
        <f>AND(#REF!,"AAAAAH/9tI4=")</f>
        <v>#REF!</v>
      </c>
      <c r="EN42" t="e">
        <f>AND(#REF!,"AAAAAH/9tI8=")</f>
        <v>#REF!</v>
      </c>
      <c r="EO42" t="e">
        <f>AND(#REF!,"AAAAAH/9tJA=")</f>
        <v>#REF!</v>
      </c>
      <c r="EP42" t="e">
        <f>AND(#REF!,"AAAAAH/9tJE=")</f>
        <v>#REF!</v>
      </c>
      <c r="EQ42" t="e">
        <f>AND(#REF!,"AAAAAH/9tJI=")</f>
        <v>#REF!</v>
      </c>
      <c r="ER42" t="e">
        <f>AND(#REF!,"AAAAAH/9tJM=")</f>
        <v>#REF!</v>
      </c>
      <c r="ES42" t="e">
        <f>AND(#REF!,"AAAAAH/9tJQ=")</f>
        <v>#REF!</v>
      </c>
      <c r="ET42" t="e">
        <f>AND(#REF!,"AAAAAH/9tJU=")</f>
        <v>#REF!</v>
      </c>
      <c r="EU42" t="e">
        <f>AND(#REF!,"AAAAAH/9tJY=")</f>
        <v>#REF!</v>
      </c>
      <c r="EV42" t="e">
        <f>AND(#REF!,"AAAAAH/9tJc=")</f>
        <v>#REF!</v>
      </c>
      <c r="EW42" t="e">
        <f>AND(#REF!,"AAAAAH/9tJg=")</f>
        <v>#REF!</v>
      </c>
      <c r="EX42" t="e">
        <f>AND(#REF!,"AAAAAH/9tJk=")</f>
        <v>#REF!</v>
      </c>
      <c r="EY42" t="e">
        <f>AND(#REF!,"AAAAAH/9tJo=")</f>
        <v>#REF!</v>
      </c>
      <c r="EZ42" t="e">
        <f>AND(#REF!,"AAAAAH/9tJs=")</f>
        <v>#REF!</v>
      </c>
      <c r="FA42" t="e">
        <f>AND(#REF!,"AAAAAH/9tJw=")</f>
        <v>#REF!</v>
      </c>
      <c r="FB42" t="e">
        <f>IF(#REF!,"AAAAAH/9tJ0=",0)</f>
        <v>#REF!</v>
      </c>
      <c r="FC42" t="e">
        <f>AND(#REF!,"AAAAAH/9tJ4=")</f>
        <v>#REF!</v>
      </c>
      <c r="FD42" t="e">
        <f>AND(#REF!,"AAAAAH/9tJ8=")</f>
        <v>#REF!</v>
      </c>
      <c r="FE42" t="e">
        <f>AND(#REF!,"AAAAAH/9tKA=")</f>
        <v>#REF!</v>
      </c>
      <c r="FF42" t="e">
        <f>AND(#REF!,"AAAAAH/9tKE=")</f>
        <v>#REF!</v>
      </c>
      <c r="FG42" t="e">
        <f>AND(#REF!,"AAAAAH/9tKI=")</f>
        <v>#REF!</v>
      </c>
      <c r="FH42" t="e">
        <f>AND(#REF!,"AAAAAH/9tKM=")</f>
        <v>#REF!</v>
      </c>
      <c r="FI42" t="e">
        <f>AND(#REF!,"AAAAAH/9tKQ=")</f>
        <v>#REF!</v>
      </c>
      <c r="FJ42" t="e">
        <f>AND(#REF!,"AAAAAH/9tKU=")</f>
        <v>#REF!</v>
      </c>
      <c r="FK42" t="e">
        <f>AND(#REF!,"AAAAAH/9tKY=")</f>
        <v>#REF!</v>
      </c>
      <c r="FL42" t="e">
        <f>AND(#REF!,"AAAAAH/9tKc=")</f>
        <v>#REF!</v>
      </c>
      <c r="FM42" t="e">
        <f>AND(#REF!,"AAAAAH/9tKg=")</f>
        <v>#REF!</v>
      </c>
      <c r="FN42" t="e">
        <f>AND(#REF!,"AAAAAH/9tKk=")</f>
        <v>#REF!</v>
      </c>
      <c r="FO42" t="e">
        <f>AND(#REF!,"AAAAAH/9tKo=")</f>
        <v>#REF!</v>
      </c>
      <c r="FP42" t="e">
        <f>AND(#REF!,"AAAAAH/9tKs=")</f>
        <v>#REF!</v>
      </c>
      <c r="FQ42" t="e">
        <f>AND(#REF!,"AAAAAH/9tKw=")</f>
        <v>#REF!</v>
      </c>
      <c r="FR42" t="e">
        <f>AND(#REF!,"AAAAAH/9tK0=")</f>
        <v>#REF!</v>
      </c>
      <c r="FS42" t="e">
        <f>AND(#REF!,"AAAAAH/9tK4=")</f>
        <v>#REF!</v>
      </c>
      <c r="FT42" t="e">
        <f>AND(#REF!,"AAAAAH/9tK8=")</f>
        <v>#REF!</v>
      </c>
      <c r="FU42" t="e">
        <f>AND(#REF!,"AAAAAH/9tLA=")</f>
        <v>#REF!</v>
      </c>
      <c r="FV42" t="e">
        <f>AND(#REF!,"AAAAAH/9tLE=")</f>
        <v>#REF!</v>
      </c>
      <c r="FW42" t="e">
        <f>AND(#REF!,"AAAAAH/9tLI=")</f>
        <v>#REF!</v>
      </c>
      <c r="FX42" t="e">
        <f>AND(#REF!,"AAAAAH/9tLM=")</f>
        <v>#REF!</v>
      </c>
      <c r="FY42" t="e">
        <f>AND(#REF!,"AAAAAH/9tLQ=")</f>
        <v>#REF!</v>
      </c>
      <c r="FZ42" t="e">
        <f>IF(#REF!,"AAAAAH/9tLU=",0)</f>
        <v>#REF!</v>
      </c>
      <c r="GA42" t="e">
        <f>AND(#REF!,"AAAAAH/9tLY=")</f>
        <v>#REF!</v>
      </c>
      <c r="GB42" t="e">
        <f>AND(#REF!,"AAAAAH/9tLc=")</f>
        <v>#REF!</v>
      </c>
      <c r="GC42" t="e">
        <f>AND(#REF!,"AAAAAH/9tLg=")</f>
        <v>#REF!</v>
      </c>
      <c r="GD42" t="e">
        <f>AND(#REF!,"AAAAAH/9tLk=")</f>
        <v>#REF!</v>
      </c>
      <c r="GE42" t="e">
        <f>AND(#REF!,"AAAAAH/9tLo=")</f>
        <v>#REF!</v>
      </c>
      <c r="GF42" t="e">
        <f>AND(#REF!,"AAAAAH/9tLs=")</f>
        <v>#REF!</v>
      </c>
      <c r="GG42" t="e">
        <f>AND(#REF!,"AAAAAH/9tLw=")</f>
        <v>#REF!</v>
      </c>
      <c r="GH42" t="e">
        <f>AND(#REF!,"AAAAAH/9tL0=")</f>
        <v>#REF!</v>
      </c>
      <c r="GI42" t="e">
        <f>AND(#REF!,"AAAAAH/9tL4=")</f>
        <v>#REF!</v>
      </c>
      <c r="GJ42" t="e">
        <f>AND(#REF!,"AAAAAH/9tL8=")</f>
        <v>#REF!</v>
      </c>
      <c r="GK42" t="e">
        <f>AND(#REF!,"AAAAAH/9tMA=")</f>
        <v>#REF!</v>
      </c>
      <c r="GL42" t="e">
        <f>AND(#REF!,"AAAAAH/9tME=")</f>
        <v>#REF!</v>
      </c>
      <c r="GM42" t="e">
        <f>AND(#REF!,"AAAAAH/9tMI=")</f>
        <v>#REF!</v>
      </c>
      <c r="GN42" t="e">
        <f>AND(#REF!,"AAAAAH/9tMM=")</f>
        <v>#REF!</v>
      </c>
      <c r="GO42" t="e">
        <f>AND(#REF!,"AAAAAH/9tMQ=")</f>
        <v>#REF!</v>
      </c>
      <c r="GP42" t="e">
        <f>AND(#REF!,"AAAAAH/9tMU=")</f>
        <v>#REF!</v>
      </c>
      <c r="GQ42" t="e">
        <f>AND(#REF!,"AAAAAH/9tMY=")</f>
        <v>#REF!</v>
      </c>
      <c r="GR42" t="e">
        <f>AND(#REF!,"AAAAAH/9tMc=")</f>
        <v>#REF!</v>
      </c>
      <c r="GS42" t="e">
        <f>AND(#REF!,"AAAAAH/9tMg=")</f>
        <v>#REF!</v>
      </c>
      <c r="GT42" t="e">
        <f>AND(#REF!,"AAAAAH/9tMk=")</f>
        <v>#REF!</v>
      </c>
      <c r="GU42" t="e">
        <f>AND(#REF!,"AAAAAH/9tMo=")</f>
        <v>#REF!</v>
      </c>
      <c r="GV42" t="e">
        <f>AND(#REF!,"AAAAAH/9tMs=")</f>
        <v>#REF!</v>
      </c>
      <c r="GW42" t="e">
        <f>AND(#REF!,"AAAAAH/9tMw=")</f>
        <v>#REF!</v>
      </c>
      <c r="GX42" t="e">
        <f>IF(#REF!,"AAAAAH/9tM0=",0)</f>
        <v>#REF!</v>
      </c>
      <c r="GY42" t="e">
        <f>AND(#REF!,"AAAAAH/9tM4=")</f>
        <v>#REF!</v>
      </c>
      <c r="GZ42" t="e">
        <f>AND(#REF!,"AAAAAH/9tM8=")</f>
        <v>#REF!</v>
      </c>
      <c r="HA42" t="e">
        <f>AND(#REF!,"AAAAAH/9tNA=")</f>
        <v>#REF!</v>
      </c>
      <c r="HB42" t="e">
        <f>AND(#REF!,"AAAAAH/9tNE=")</f>
        <v>#REF!</v>
      </c>
      <c r="HC42" t="e">
        <f>AND(#REF!,"AAAAAH/9tNI=")</f>
        <v>#REF!</v>
      </c>
      <c r="HD42" t="e">
        <f>AND(#REF!,"AAAAAH/9tNM=")</f>
        <v>#REF!</v>
      </c>
      <c r="HE42" t="e">
        <f>AND(#REF!,"AAAAAH/9tNQ=")</f>
        <v>#REF!</v>
      </c>
      <c r="HF42" t="e">
        <f>AND(#REF!,"AAAAAH/9tNU=")</f>
        <v>#REF!</v>
      </c>
      <c r="HG42" t="e">
        <f>AND(#REF!,"AAAAAH/9tNY=")</f>
        <v>#REF!</v>
      </c>
      <c r="HH42" t="e">
        <f>AND(#REF!,"AAAAAH/9tNc=")</f>
        <v>#REF!</v>
      </c>
      <c r="HI42" t="e">
        <f>AND(#REF!,"AAAAAH/9tNg=")</f>
        <v>#REF!</v>
      </c>
      <c r="HJ42" t="e">
        <f>AND(#REF!,"AAAAAH/9tNk=")</f>
        <v>#REF!</v>
      </c>
      <c r="HK42" t="e">
        <f>AND(#REF!,"AAAAAH/9tNo=")</f>
        <v>#REF!</v>
      </c>
      <c r="HL42" t="e">
        <f>AND(#REF!,"AAAAAH/9tNs=")</f>
        <v>#REF!</v>
      </c>
      <c r="HM42" t="e">
        <f>AND(#REF!,"AAAAAH/9tNw=")</f>
        <v>#REF!</v>
      </c>
      <c r="HN42" t="e">
        <f>AND(#REF!,"AAAAAH/9tN0=")</f>
        <v>#REF!</v>
      </c>
      <c r="HO42" t="e">
        <f>AND(#REF!,"AAAAAH/9tN4=")</f>
        <v>#REF!</v>
      </c>
      <c r="HP42" t="e">
        <f>AND(#REF!,"AAAAAH/9tN8=")</f>
        <v>#REF!</v>
      </c>
      <c r="HQ42" t="e">
        <f>AND(#REF!,"AAAAAH/9tOA=")</f>
        <v>#REF!</v>
      </c>
      <c r="HR42" t="e">
        <f>AND(#REF!,"AAAAAH/9tOE=")</f>
        <v>#REF!</v>
      </c>
      <c r="HS42" t="e">
        <f>AND(#REF!,"AAAAAH/9tOI=")</f>
        <v>#REF!</v>
      </c>
      <c r="HT42" t="e">
        <f>AND(#REF!,"AAAAAH/9tOM=")</f>
        <v>#REF!</v>
      </c>
      <c r="HU42" t="e">
        <f>AND(#REF!,"AAAAAH/9tOQ=")</f>
        <v>#REF!</v>
      </c>
      <c r="HV42" t="e">
        <f>IF(#REF!,"AAAAAH/9tOU=",0)</f>
        <v>#REF!</v>
      </c>
      <c r="HW42" t="e">
        <f>AND(#REF!,"AAAAAH/9tOY=")</f>
        <v>#REF!</v>
      </c>
      <c r="HX42" t="e">
        <f>AND(#REF!,"AAAAAH/9tOc=")</f>
        <v>#REF!</v>
      </c>
      <c r="HY42" t="e">
        <f>AND(#REF!,"AAAAAH/9tOg=")</f>
        <v>#REF!</v>
      </c>
      <c r="HZ42" t="e">
        <f>AND(#REF!,"AAAAAH/9tOk=")</f>
        <v>#REF!</v>
      </c>
      <c r="IA42" t="e">
        <f>AND(#REF!,"AAAAAH/9tOo=")</f>
        <v>#REF!</v>
      </c>
      <c r="IB42" t="e">
        <f>AND(#REF!,"AAAAAH/9tOs=")</f>
        <v>#REF!</v>
      </c>
      <c r="IC42" t="e">
        <f>AND(#REF!,"AAAAAH/9tOw=")</f>
        <v>#REF!</v>
      </c>
      <c r="ID42" t="e">
        <f>AND(#REF!,"AAAAAH/9tO0=")</f>
        <v>#REF!</v>
      </c>
      <c r="IE42" t="e">
        <f>AND(#REF!,"AAAAAH/9tO4=")</f>
        <v>#REF!</v>
      </c>
      <c r="IF42" t="e">
        <f>AND(#REF!,"AAAAAH/9tO8=")</f>
        <v>#REF!</v>
      </c>
      <c r="IG42" t="e">
        <f>AND(#REF!,"AAAAAH/9tPA=")</f>
        <v>#REF!</v>
      </c>
      <c r="IH42" t="e">
        <f>AND(#REF!,"AAAAAH/9tPE=")</f>
        <v>#REF!</v>
      </c>
      <c r="II42" t="e">
        <f>AND(#REF!,"AAAAAH/9tPI=")</f>
        <v>#REF!</v>
      </c>
      <c r="IJ42" t="e">
        <f>AND(#REF!,"AAAAAH/9tPM=")</f>
        <v>#REF!</v>
      </c>
      <c r="IK42" t="e">
        <f>AND(#REF!,"AAAAAH/9tPQ=")</f>
        <v>#REF!</v>
      </c>
      <c r="IL42" t="e">
        <f>AND(#REF!,"AAAAAH/9tPU=")</f>
        <v>#REF!</v>
      </c>
      <c r="IM42" t="e">
        <f>AND(#REF!,"AAAAAH/9tPY=")</f>
        <v>#REF!</v>
      </c>
      <c r="IN42" t="e">
        <f>AND(#REF!,"AAAAAH/9tPc=")</f>
        <v>#REF!</v>
      </c>
      <c r="IO42" t="e">
        <f>AND(#REF!,"AAAAAH/9tPg=")</f>
        <v>#REF!</v>
      </c>
      <c r="IP42" t="e">
        <f>AND(#REF!,"AAAAAH/9tPk=")</f>
        <v>#REF!</v>
      </c>
      <c r="IQ42" t="e">
        <f>AND(#REF!,"AAAAAH/9tPo=")</f>
        <v>#REF!</v>
      </c>
      <c r="IR42" t="e">
        <f>AND(#REF!,"AAAAAH/9tPs=")</f>
        <v>#REF!</v>
      </c>
      <c r="IS42" t="e">
        <f>AND(#REF!,"AAAAAH/9tPw=")</f>
        <v>#REF!</v>
      </c>
      <c r="IT42" t="e">
        <f>IF(#REF!,"AAAAAH/9tP0=",0)</f>
        <v>#REF!</v>
      </c>
      <c r="IU42" t="e">
        <f>AND(#REF!,"AAAAAH/9tP4=")</f>
        <v>#REF!</v>
      </c>
      <c r="IV42" t="e">
        <f>AND(#REF!,"AAAAAH/9tP8=")</f>
        <v>#REF!</v>
      </c>
    </row>
    <row r="43" spans="1:256" x14ac:dyDescent="0.25">
      <c r="A43" t="e">
        <f>AND(#REF!,"AAAAAD3bfQA=")</f>
        <v>#REF!</v>
      </c>
      <c r="B43" t="e">
        <f>AND(#REF!,"AAAAAD3bfQE=")</f>
        <v>#REF!</v>
      </c>
      <c r="C43" t="e">
        <f>AND(#REF!,"AAAAAD3bfQI=")</f>
        <v>#REF!</v>
      </c>
      <c r="D43" t="e">
        <f>AND(#REF!,"AAAAAD3bfQM=")</f>
        <v>#REF!</v>
      </c>
      <c r="E43" t="e">
        <f>AND(#REF!,"AAAAAD3bfQQ=")</f>
        <v>#REF!</v>
      </c>
      <c r="F43" t="e">
        <f>AND(#REF!,"AAAAAD3bfQU=")</f>
        <v>#REF!</v>
      </c>
      <c r="G43" t="e">
        <f>AND(#REF!,"AAAAAD3bfQY=")</f>
        <v>#REF!</v>
      </c>
      <c r="H43" t="e">
        <f>AND(#REF!,"AAAAAD3bfQc=")</f>
        <v>#REF!</v>
      </c>
      <c r="I43" t="e">
        <f>AND(#REF!,"AAAAAD3bfQg=")</f>
        <v>#REF!</v>
      </c>
      <c r="J43" t="e">
        <f>AND(#REF!,"AAAAAD3bfQk=")</f>
        <v>#REF!</v>
      </c>
      <c r="K43" t="e">
        <f>AND(#REF!,"AAAAAD3bfQo=")</f>
        <v>#REF!</v>
      </c>
      <c r="L43" t="e">
        <f>AND(#REF!,"AAAAAD3bfQs=")</f>
        <v>#REF!</v>
      </c>
      <c r="M43" t="e">
        <f>AND(#REF!,"AAAAAD3bfQw=")</f>
        <v>#REF!</v>
      </c>
      <c r="N43" t="e">
        <f>AND(#REF!,"AAAAAD3bfQ0=")</f>
        <v>#REF!</v>
      </c>
      <c r="O43" t="e">
        <f>AND(#REF!,"AAAAAD3bfQ4=")</f>
        <v>#REF!</v>
      </c>
      <c r="P43" t="e">
        <f>AND(#REF!,"AAAAAD3bfQ8=")</f>
        <v>#REF!</v>
      </c>
      <c r="Q43" t="e">
        <f>AND(#REF!,"AAAAAD3bfRA=")</f>
        <v>#REF!</v>
      </c>
      <c r="R43" t="e">
        <f>AND(#REF!,"AAAAAD3bfRE=")</f>
        <v>#REF!</v>
      </c>
      <c r="S43" t="e">
        <f>AND(#REF!,"AAAAAD3bfRI=")</f>
        <v>#REF!</v>
      </c>
      <c r="T43" t="e">
        <f>AND(#REF!,"AAAAAD3bfRM=")</f>
        <v>#REF!</v>
      </c>
      <c r="U43" t="e">
        <f>AND(#REF!,"AAAAAD3bfRQ=")</f>
        <v>#REF!</v>
      </c>
      <c r="V43" t="e">
        <f>IF(#REF!,"AAAAAD3bfRU=",0)</f>
        <v>#REF!</v>
      </c>
      <c r="W43" t="e">
        <f>AND(#REF!,"AAAAAD3bfRY=")</f>
        <v>#REF!</v>
      </c>
      <c r="X43" t="e">
        <f>AND(#REF!,"AAAAAD3bfRc=")</f>
        <v>#REF!</v>
      </c>
      <c r="Y43" t="e">
        <f>AND(#REF!,"AAAAAD3bfRg=")</f>
        <v>#REF!</v>
      </c>
      <c r="Z43" t="e">
        <f>AND(#REF!,"AAAAAD3bfRk=")</f>
        <v>#REF!</v>
      </c>
      <c r="AA43" t="e">
        <f>AND(#REF!,"AAAAAD3bfRo=")</f>
        <v>#REF!</v>
      </c>
      <c r="AB43" t="e">
        <f>AND(#REF!,"AAAAAD3bfRs=")</f>
        <v>#REF!</v>
      </c>
      <c r="AC43" t="e">
        <f>AND(#REF!,"AAAAAD3bfRw=")</f>
        <v>#REF!</v>
      </c>
      <c r="AD43" t="e">
        <f>AND(#REF!,"AAAAAD3bfR0=")</f>
        <v>#REF!</v>
      </c>
      <c r="AE43" t="e">
        <f>AND(#REF!,"AAAAAD3bfR4=")</f>
        <v>#REF!</v>
      </c>
      <c r="AF43" t="e">
        <f>AND(#REF!,"AAAAAD3bfR8=")</f>
        <v>#REF!</v>
      </c>
      <c r="AG43" t="e">
        <f>AND(#REF!,"AAAAAD3bfSA=")</f>
        <v>#REF!</v>
      </c>
      <c r="AH43" t="e">
        <f>AND(#REF!,"AAAAAD3bfSE=")</f>
        <v>#REF!</v>
      </c>
      <c r="AI43" t="e">
        <f>AND(#REF!,"AAAAAD3bfSI=")</f>
        <v>#REF!</v>
      </c>
      <c r="AJ43" t="e">
        <f>AND(#REF!,"AAAAAD3bfSM=")</f>
        <v>#REF!</v>
      </c>
      <c r="AK43" t="e">
        <f>AND(#REF!,"AAAAAD3bfSQ=")</f>
        <v>#REF!</v>
      </c>
      <c r="AL43" t="e">
        <f>AND(#REF!,"AAAAAD3bfSU=")</f>
        <v>#REF!</v>
      </c>
      <c r="AM43" t="e">
        <f>AND(#REF!,"AAAAAD3bfSY=")</f>
        <v>#REF!</v>
      </c>
      <c r="AN43" t="e">
        <f>AND(#REF!,"AAAAAD3bfSc=")</f>
        <v>#REF!</v>
      </c>
      <c r="AO43" t="e">
        <f>AND(#REF!,"AAAAAD3bfSg=")</f>
        <v>#REF!</v>
      </c>
      <c r="AP43" t="e">
        <f>AND(#REF!,"AAAAAD3bfSk=")</f>
        <v>#REF!</v>
      </c>
      <c r="AQ43" t="e">
        <f>AND(#REF!,"AAAAAD3bfSo=")</f>
        <v>#REF!</v>
      </c>
      <c r="AR43" t="e">
        <f>AND(#REF!,"AAAAAD3bfSs=")</f>
        <v>#REF!</v>
      </c>
      <c r="AS43" t="e">
        <f>AND(#REF!,"AAAAAD3bfSw=")</f>
        <v>#REF!</v>
      </c>
      <c r="AT43" t="e">
        <f>IF(#REF!,"AAAAAD3bfS0=",0)</f>
        <v>#REF!</v>
      </c>
      <c r="AU43" t="e">
        <f>AND(#REF!,"AAAAAD3bfS4=")</f>
        <v>#REF!</v>
      </c>
      <c r="AV43" t="e">
        <f>AND(#REF!,"AAAAAD3bfS8=")</f>
        <v>#REF!</v>
      </c>
      <c r="AW43" t="e">
        <f>AND(#REF!,"AAAAAD3bfTA=")</f>
        <v>#REF!</v>
      </c>
      <c r="AX43" t="e">
        <f>AND(#REF!,"AAAAAD3bfTE=")</f>
        <v>#REF!</v>
      </c>
      <c r="AY43" t="e">
        <f>AND(#REF!,"AAAAAD3bfTI=")</f>
        <v>#REF!</v>
      </c>
      <c r="AZ43" t="e">
        <f>AND(#REF!,"AAAAAD3bfTM=")</f>
        <v>#REF!</v>
      </c>
      <c r="BA43" t="e">
        <f>AND(#REF!,"AAAAAD3bfTQ=")</f>
        <v>#REF!</v>
      </c>
      <c r="BB43" t="e">
        <f>AND(#REF!,"AAAAAD3bfTU=")</f>
        <v>#REF!</v>
      </c>
      <c r="BC43" t="e">
        <f>AND(#REF!,"AAAAAD3bfTY=")</f>
        <v>#REF!</v>
      </c>
      <c r="BD43" t="e">
        <f>AND(#REF!,"AAAAAD3bfTc=")</f>
        <v>#REF!</v>
      </c>
      <c r="BE43" t="e">
        <f>AND(#REF!,"AAAAAD3bfTg=")</f>
        <v>#REF!</v>
      </c>
      <c r="BF43" t="e">
        <f>AND(#REF!,"AAAAAD3bfTk=")</f>
        <v>#REF!</v>
      </c>
      <c r="BG43" t="e">
        <f>AND(#REF!,"AAAAAD3bfTo=")</f>
        <v>#REF!</v>
      </c>
      <c r="BH43" t="e">
        <f>AND(#REF!,"AAAAAD3bfTs=")</f>
        <v>#REF!</v>
      </c>
      <c r="BI43" t="e">
        <f>AND(#REF!,"AAAAAD3bfTw=")</f>
        <v>#REF!</v>
      </c>
      <c r="BJ43" t="e">
        <f>AND(#REF!,"AAAAAD3bfT0=")</f>
        <v>#REF!</v>
      </c>
      <c r="BK43" t="e">
        <f>AND(#REF!,"AAAAAD3bfT4=")</f>
        <v>#REF!</v>
      </c>
      <c r="BL43" t="e">
        <f>AND(#REF!,"AAAAAD3bfT8=")</f>
        <v>#REF!</v>
      </c>
      <c r="BM43" t="e">
        <f>AND(#REF!,"AAAAAD3bfUA=")</f>
        <v>#REF!</v>
      </c>
      <c r="BN43" t="e">
        <f>AND(#REF!,"AAAAAD3bfUE=")</f>
        <v>#REF!</v>
      </c>
      <c r="BO43" t="e">
        <f>AND(#REF!,"AAAAAD3bfUI=")</f>
        <v>#REF!</v>
      </c>
      <c r="BP43" t="e">
        <f>AND(#REF!,"AAAAAD3bfUM=")</f>
        <v>#REF!</v>
      </c>
      <c r="BQ43" t="e">
        <f>AND(#REF!,"AAAAAD3bfUQ=")</f>
        <v>#REF!</v>
      </c>
      <c r="BR43" t="e">
        <f>IF(#REF!,"AAAAAD3bfUU=",0)</f>
        <v>#REF!</v>
      </c>
      <c r="BS43" t="e">
        <f>AND(#REF!,"AAAAAD3bfUY=")</f>
        <v>#REF!</v>
      </c>
      <c r="BT43" t="e">
        <f>AND(#REF!,"AAAAAD3bfUc=")</f>
        <v>#REF!</v>
      </c>
      <c r="BU43" t="e">
        <f>AND(#REF!,"AAAAAD3bfUg=")</f>
        <v>#REF!</v>
      </c>
      <c r="BV43" t="e">
        <f>AND(#REF!,"AAAAAD3bfUk=")</f>
        <v>#REF!</v>
      </c>
      <c r="BW43" t="e">
        <f>AND(#REF!,"AAAAAD3bfUo=")</f>
        <v>#REF!</v>
      </c>
      <c r="BX43" t="e">
        <f>AND(#REF!,"AAAAAD3bfUs=")</f>
        <v>#REF!</v>
      </c>
      <c r="BY43" t="e">
        <f>AND(#REF!,"AAAAAD3bfUw=")</f>
        <v>#REF!</v>
      </c>
      <c r="BZ43" t="e">
        <f>AND(#REF!,"AAAAAD3bfU0=")</f>
        <v>#REF!</v>
      </c>
      <c r="CA43" t="e">
        <f>AND(#REF!,"AAAAAD3bfU4=")</f>
        <v>#REF!</v>
      </c>
      <c r="CB43" t="e">
        <f>AND(#REF!,"AAAAAD3bfU8=")</f>
        <v>#REF!</v>
      </c>
      <c r="CC43" t="e">
        <f>AND(#REF!,"AAAAAD3bfVA=")</f>
        <v>#REF!</v>
      </c>
      <c r="CD43" t="e">
        <f>AND(#REF!,"AAAAAD3bfVE=")</f>
        <v>#REF!</v>
      </c>
      <c r="CE43" t="e">
        <f>AND(#REF!,"AAAAAD3bfVI=")</f>
        <v>#REF!</v>
      </c>
      <c r="CF43" t="e">
        <f>AND(#REF!,"AAAAAD3bfVM=")</f>
        <v>#REF!</v>
      </c>
      <c r="CG43" t="e">
        <f>AND(#REF!,"AAAAAD3bfVQ=")</f>
        <v>#REF!</v>
      </c>
      <c r="CH43" t="e">
        <f>AND(#REF!,"AAAAAD3bfVU=")</f>
        <v>#REF!</v>
      </c>
      <c r="CI43" t="e">
        <f>AND(#REF!,"AAAAAD3bfVY=")</f>
        <v>#REF!</v>
      </c>
      <c r="CJ43" t="e">
        <f>AND(#REF!,"AAAAAD3bfVc=")</f>
        <v>#REF!</v>
      </c>
      <c r="CK43" t="e">
        <f>AND(#REF!,"AAAAAD3bfVg=")</f>
        <v>#REF!</v>
      </c>
      <c r="CL43" t="e">
        <f>AND(#REF!,"AAAAAD3bfVk=")</f>
        <v>#REF!</v>
      </c>
      <c r="CM43" t="e">
        <f>AND(#REF!,"AAAAAD3bfVo=")</f>
        <v>#REF!</v>
      </c>
      <c r="CN43" t="e">
        <f>AND(#REF!,"AAAAAD3bfVs=")</f>
        <v>#REF!</v>
      </c>
      <c r="CO43" t="e">
        <f>AND(#REF!,"AAAAAD3bfVw=")</f>
        <v>#REF!</v>
      </c>
      <c r="CP43" t="e">
        <f>IF(#REF!,"AAAAAD3bfV0=",0)</f>
        <v>#REF!</v>
      </c>
      <c r="CQ43" t="e">
        <f>AND(#REF!,"AAAAAD3bfV4=")</f>
        <v>#REF!</v>
      </c>
      <c r="CR43" t="e">
        <f>AND(#REF!,"AAAAAD3bfV8=")</f>
        <v>#REF!</v>
      </c>
      <c r="CS43" t="e">
        <f>AND(#REF!,"AAAAAD3bfWA=")</f>
        <v>#REF!</v>
      </c>
      <c r="CT43" t="e">
        <f>AND(#REF!,"AAAAAD3bfWE=")</f>
        <v>#REF!</v>
      </c>
      <c r="CU43" t="e">
        <f>AND(#REF!,"AAAAAD3bfWI=")</f>
        <v>#REF!</v>
      </c>
      <c r="CV43" t="e">
        <f>AND(#REF!,"AAAAAD3bfWM=")</f>
        <v>#REF!</v>
      </c>
      <c r="CW43" t="e">
        <f>AND(#REF!,"AAAAAD3bfWQ=")</f>
        <v>#REF!</v>
      </c>
      <c r="CX43" t="e">
        <f>AND(#REF!,"AAAAAD3bfWU=")</f>
        <v>#REF!</v>
      </c>
      <c r="CY43" t="e">
        <f>AND(#REF!,"AAAAAD3bfWY=")</f>
        <v>#REF!</v>
      </c>
      <c r="CZ43" t="e">
        <f>AND(#REF!,"AAAAAD3bfWc=")</f>
        <v>#REF!</v>
      </c>
      <c r="DA43" t="e">
        <f>AND(#REF!,"AAAAAD3bfWg=")</f>
        <v>#REF!</v>
      </c>
      <c r="DB43" t="e">
        <f>AND(#REF!,"AAAAAD3bfWk=")</f>
        <v>#REF!</v>
      </c>
      <c r="DC43" t="e">
        <f>AND(#REF!,"AAAAAD3bfWo=")</f>
        <v>#REF!</v>
      </c>
      <c r="DD43" t="e">
        <f>AND(#REF!,"AAAAAD3bfWs=")</f>
        <v>#REF!</v>
      </c>
      <c r="DE43" t="e">
        <f>AND(#REF!,"AAAAAD3bfWw=")</f>
        <v>#REF!</v>
      </c>
      <c r="DF43" t="e">
        <f>AND(#REF!,"AAAAAD3bfW0=")</f>
        <v>#REF!</v>
      </c>
      <c r="DG43" t="e">
        <f>AND(#REF!,"AAAAAD3bfW4=")</f>
        <v>#REF!</v>
      </c>
      <c r="DH43" t="e">
        <f>AND(#REF!,"AAAAAD3bfW8=")</f>
        <v>#REF!</v>
      </c>
      <c r="DI43" t="e">
        <f>AND(#REF!,"AAAAAD3bfXA=")</f>
        <v>#REF!</v>
      </c>
      <c r="DJ43" t="e">
        <f>AND(#REF!,"AAAAAD3bfXE=")</f>
        <v>#REF!</v>
      </c>
      <c r="DK43" t="e">
        <f>AND(#REF!,"AAAAAD3bfXI=")</f>
        <v>#REF!</v>
      </c>
      <c r="DL43" t="e">
        <f>AND(#REF!,"AAAAAD3bfXM=")</f>
        <v>#REF!</v>
      </c>
      <c r="DM43" t="e">
        <f>AND(#REF!,"AAAAAD3bfXQ=")</f>
        <v>#REF!</v>
      </c>
      <c r="DN43" t="e">
        <f>IF(#REF!,"AAAAAD3bfXU=",0)</f>
        <v>#REF!</v>
      </c>
      <c r="DO43" t="e">
        <f>AND(#REF!,"AAAAAD3bfXY=")</f>
        <v>#REF!</v>
      </c>
      <c r="DP43" t="e">
        <f>AND(#REF!,"AAAAAD3bfXc=")</f>
        <v>#REF!</v>
      </c>
      <c r="DQ43" t="e">
        <f>AND(#REF!,"AAAAAD3bfXg=")</f>
        <v>#REF!</v>
      </c>
      <c r="DR43" t="e">
        <f>AND(#REF!,"AAAAAD3bfXk=")</f>
        <v>#REF!</v>
      </c>
      <c r="DS43" t="e">
        <f>AND(#REF!,"AAAAAD3bfXo=")</f>
        <v>#REF!</v>
      </c>
      <c r="DT43" t="e">
        <f>AND(#REF!,"AAAAAD3bfXs=")</f>
        <v>#REF!</v>
      </c>
      <c r="DU43" t="e">
        <f>AND(#REF!,"AAAAAD3bfXw=")</f>
        <v>#REF!</v>
      </c>
      <c r="DV43" t="e">
        <f>AND(#REF!,"AAAAAD3bfX0=")</f>
        <v>#REF!</v>
      </c>
      <c r="DW43" t="e">
        <f>AND(#REF!,"AAAAAD3bfX4=")</f>
        <v>#REF!</v>
      </c>
      <c r="DX43" t="e">
        <f>AND(#REF!,"AAAAAD3bfX8=")</f>
        <v>#REF!</v>
      </c>
      <c r="DY43" t="e">
        <f>AND(#REF!,"AAAAAD3bfYA=")</f>
        <v>#REF!</v>
      </c>
      <c r="DZ43" t="e">
        <f>AND(#REF!,"AAAAAD3bfYE=")</f>
        <v>#REF!</v>
      </c>
      <c r="EA43" t="e">
        <f>AND(#REF!,"AAAAAD3bfYI=")</f>
        <v>#REF!</v>
      </c>
      <c r="EB43" t="e">
        <f>AND(#REF!,"AAAAAD3bfYM=")</f>
        <v>#REF!</v>
      </c>
      <c r="EC43" t="e">
        <f>AND(#REF!,"AAAAAD3bfYQ=")</f>
        <v>#REF!</v>
      </c>
      <c r="ED43" t="e">
        <f>AND(#REF!,"AAAAAD3bfYU=")</f>
        <v>#REF!</v>
      </c>
      <c r="EE43" t="e">
        <f>AND(#REF!,"AAAAAD3bfYY=")</f>
        <v>#REF!</v>
      </c>
      <c r="EF43" t="e">
        <f>AND(#REF!,"AAAAAD3bfYc=")</f>
        <v>#REF!</v>
      </c>
      <c r="EG43" t="e">
        <f>AND(#REF!,"AAAAAD3bfYg=")</f>
        <v>#REF!</v>
      </c>
      <c r="EH43" t="e">
        <f>AND(#REF!,"AAAAAD3bfYk=")</f>
        <v>#REF!</v>
      </c>
      <c r="EI43" t="e">
        <f>AND(#REF!,"AAAAAD3bfYo=")</f>
        <v>#REF!</v>
      </c>
      <c r="EJ43" t="e">
        <f>AND(#REF!,"AAAAAD3bfYs=")</f>
        <v>#REF!</v>
      </c>
      <c r="EK43" t="e">
        <f>AND(#REF!,"AAAAAD3bfYw=")</f>
        <v>#REF!</v>
      </c>
      <c r="EL43" t="e">
        <f>IF(#REF!,"AAAAAD3bfY0=",0)</f>
        <v>#REF!</v>
      </c>
      <c r="EM43" t="e">
        <f>AND(#REF!,"AAAAAD3bfY4=")</f>
        <v>#REF!</v>
      </c>
      <c r="EN43" t="e">
        <f>AND(#REF!,"AAAAAD3bfY8=")</f>
        <v>#REF!</v>
      </c>
      <c r="EO43" t="e">
        <f>AND(#REF!,"AAAAAD3bfZA=")</f>
        <v>#REF!</v>
      </c>
      <c r="EP43" t="e">
        <f>AND(#REF!,"AAAAAD3bfZE=")</f>
        <v>#REF!</v>
      </c>
      <c r="EQ43" t="e">
        <f>AND(#REF!,"AAAAAD3bfZI=")</f>
        <v>#REF!</v>
      </c>
      <c r="ER43" t="e">
        <f>AND(#REF!,"AAAAAD3bfZM=")</f>
        <v>#REF!</v>
      </c>
      <c r="ES43" t="e">
        <f>AND(#REF!,"AAAAAD3bfZQ=")</f>
        <v>#REF!</v>
      </c>
      <c r="ET43" t="e">
        <f>AND(#REF!,"AAAAAD3bfZU=")</f>
        <v>#REF!</v>
      </c>
      <c r="EU43" t="e">
        <f>AND(#REF!,"AAAAAD3bfZY=")</f>
        <v>#REF!</v>
      </c>
      <c r="EV43" t="e">
        <f>AND(#REF!,"AAAAAD3bfZc=")</f>
        <v>#REF!</v>
      </c>
      <c r="EW43" t="e">
        <f>AND(#REF!,"AAAAAD3bfZg=")</f>
        <v>#REF!</v>
      </c>
      <c r="EX43" t="e">
        <f>AND(#REF!,"AAAAAD3bfZk=")</f>
        <v>#REF!</v>
      </c>
      <c r="EY43" t="e">
        <f>AND(#REF!,"AAAAAD3bfZo=")</f>
        <v>#REF!</v>
      </c>
      <c r="EZ43" t="e">
        <f>AND(#REF!,"AAAAAD3bfZs=")</f>
        <v>#REF!</v>
      </c>
      <c r="FA43" t="e">
        <f>AND(#REF!,"AAAAAD3bfZw=")</f>
        <v>#REF!</v>
      </c>
      <c r="FB43" t="e">
        <f>AND(#REF!,"AAAAAD3bfZ0=")</f>
        <v>#REF!</v>
      </c>
      <c r="FC43" t="e">
        <f>AND(#REF!,"AAAAAD3bfZ4=")</f>
        <v>#REF!</v>
      </c>
      <c r="FD43" t="e">
        <f>AND(#REF!,"AAAAAD3bfZ8=")</f>
        <v>#REF!</v>
      </c>
      <c r="FE43" t="e">
        <f>AND(#REF!,"AAAAAD3bfaA=")</f>
        <v>#REF!</v>
      </c>
      <c r="FF43" t="e">
        <f>AND(#REF!,"AAAAAD3bfaE=")</f>
        <v>#REF!</v>
      </c>
      <c r="FG43" t="e">
        <f>AND(#REF!,"AAAAAD3bfaI=")</f>
        <v>#REF!</v>
      </c>
      <c r="FH43" t="e">
        <f>AND(#REF!,"AAAAAD3bfaM=")</f>
        <v>#REF!</v>
      </c>
      <c r="FI43" t="e">
        <f>AND(#REF!,"AAAAAD3bfaQ=")</f>
        <v>#REF!</v>
      </c>
      <c r="FJ43" t="e">
        <f>IF(#REF!,"AAAAAD3bfaU=",0)</f>
        <v>#REF!</v>
      </c>
      <c r="FK43" t="e">
        <f>AND(#REF!,"AAAAAD3bfaY=")</f>
        <v>#REF!</v>
      </c>
      <c r="FL43" t="e">
        <f>AND(#REF!,"AAAAAD3bfac=")</f>
        <v>#REF!</v>
      </c>
      <c r="FM43" t="e">
        <f>AND(#REF!,"AAAAAD3bfag=")</f>
        <v>#REF!</v>
      </c>
      <c r="FN43" t="e">
        <f>AND(#REF!,"AAAAAD3bfak=")</f>
        <v>#REF!</v>
      </c>
      <c r="FO43" t="e">
        <f>AND(#REF!,"AAAAAD3bfao=")</f>
        <v>#REF!</v>
      </c>
      <c r="FP43" t="e">
        <f>AND(#REF!,"AAAAAD3bfas=")</f>
        <v>#REF!</v>
      </c>
      <c r="FQ43" t="e">
        <f>AND(#REF!,"AAAAAD3bfaw=")</f>
        <v>#REF!</v>
      </c>
      <c r="FR43" t="e">
        <f>AND(#REF!,"AAAAAD3bfa0=")</f>
        <v>#REF!</v>
      </c>
      <c r="FS43" t="e">
        <f>AND(#REF!,"AAAAAD3bfa4=")</f>
        <v>#REF!</v>
      </c>
      <c r="FT43" t="e">
        <f>AND(#REF!,"AAAAAD3bfa8=")</f>
        <v>#REF!</v>
      </c>
      <c r="FU43" t="e">
        <f>AND(#REF!,"AAAAAD3bfbA=")</f>
        <v>#REF!</v>
      </c>
      <c r="FV43" t="e">
        <f>AND(#REF!,"AAAAAD3bfbE=")</f>
        <v>#REF!</v>
      </c>
      <c r="FW43" t="e">
        <f>AND(#REF!,"AAAAAD3bfbI=")</f>
        <v>#REF!</v>
      </c>
      <c r="FX43" t="e">
        <f>AND(#REF!,"AAAAAD3bfbM=")</f>
        <v>#REF!</v>
      </c>
      <c r="FY43" t="e">
        <f>AND(#REF!,"AAAAAD3bfbQ=")</f>
        <v>#REF!</v>
      </c>
      <c r="FZ43" t="e">
        <f>AND(#REF!,"AAAAAD3bfbU=")</f>
        <v>#REF!</v>
      </c>
      <c r="GA43" t="e">
        <f>AND(#REF!,"AAAAAD3bfbY=")</f>
        <v>#REF!</v>
      </c>
      <c r="GB43" t="e">
        <f>AND(#REF!,"AAAAAD3bfbc=")</f>
        <v>#REF!</v>
      </c>
      <c r="GC43" t="e">
        <f>AND(#REF!,"AAAAAD3bfbg=")</f>
        <v>#REF!</v>
      </c>
      <c r="GD43" t="e">
        <f>AND(#REF!,"AAAAAD3bfbk=")</f>
        <v>#REF!</v>
      </c>
      <c r="GE43" t="e">
        <f>AND(#REF!,"AAAAAD3bfbo=")</f>
        <v>#REF!</v>
      </c>
      <c r="GF43" t="e">
        <f>AND(#REF!,"AAAAAD3bfbs=")</f>
        <v>#REF!</v>
      </c>
      <c r="GG43" t="e">
        <f>AND(#REF!,"AAAAAD3bfbw=")</f>
        <v>#REF!</v>
      </c>
      <c r="GH43" t="e">
        <f>IF(#REF!,"AAAAAD3bfb0=",0)</f>
        <v>#REF!</v>
      </c>
      <c r="GI43" t="e">
        <f>AND(#REF!,"AAAAAD3bfb4=")</f>
        <v>#REF!</v>
      </c>
      <c r="GJ43" t="e">
        <f>AND(#REF!,"AAAAAD3bfb8=")</f>
        <v>#REF!</v>
      </c>
      <c r="GK43" t="e">
        <f>AND(#REF!,"AAAAAD3bfcA=")</f>
        <v>#REF!</v>
      </c>
      <c r="GL43" t="e">
        <f>AND(#REF!,"AAAAAD3bfcE=")</f>
        <v>#REF!</v>
      </c>
      <c r="GM43" t="e">
        <f>AND(#REF!,"AAAAAD3bfcI=")</f>
        <v>#REF!</v>
      </c>
      <c r="GN43" t="e">
        <f>AND(#REF!,"AAAAAD3bfcM=")</f>
        <v>#REF!</v>
      </c>
      <c r="GO43" t="e">
        <f>AND(#REF!,"AAAAAD3bfcQ=")</f>
        <v>#REF!</v>
      </c>
      <c r="GP43" t="e">
        <f>AND(#REF!,"AAAAAD3bfcU=")</f>
        <v>#REF!</v>
      </c>
      <c r="GQ43" t="e">
        <f>AND(#REF!,"AAAAAD3bfcY=")</f>
        <v>#REF!</v>
      </c>
      <c r="GR43" t="e">
        <f>AND(#REF!,"AAAAAD3bfcc=")</f>
        <v>#REF!</v>
      </c>
      <c r="GS43" t="e">
        <f>AND(#REF!,"AAAAAD3bfcg=")</f>
        <v>#REF!</v>
      </c>
      <c r="GT43" t="e">
        <f>AND(#REF!,"AAAAAD3bfck=")</f>
        <v>#REF!</v>
      </c>
      <c r="GU43" t="e">
        <f>AND(#REF!,"AAAAAD3bfco=")</f>
        <v>#REF!</v>
      </c>
      <c r="GV43" t="e">
        <f>AND(#REF!,"AAAAAD3bfcs=")</f>
        <v>#REF!</v>
      </c>
      <c r="GW43" t="e">
        <f>AND(#REF!,"AAAAAD3bfcw=")</f>
        <v>#REF!</v>
      </c>
      <c r="GX43" t="e">
        <f>AND(#REF!,"AAAAAD3bfc0=")</f>
        <v>#REF!</v>
      </c>
      <c r="GY43" t="e">
        <f>AND(#REF!,"AAAAAD3bfc4=")</f>
        <v>#REF!</v>
      </c>
      <c r="GZ43" t="e">
        <f>AND(#REF!,"AAAAAD3bfc8=")</f>
        <v>#REF!</v>
      </c>
      <c r="HA43" t="e">
        <f>AND(#REF!,"AAAAAD3bfdA=")</f>
        <v>#REF!</v>
      </c>
      <c r="HB43" t="e">
        <f>AND(#REF!,"AAAAAD3bfdE=")</f>
        <v>#REF!</v>
      </c>
      <c r="HC43" t="e">
        <f>AND(#REF!,"AAAAAD3bfdI=")</f>
        <v>#REF!</v>
      </c>
      <c r="HD43" t="e">
        <f>AND(#REF!,"AAAAAD3bfdM=")</f>
        <v>#REF!</v>
      </c>
      <c r="HE43" t="e">
        <f>AND(#REF!,"AAAAAD3bfdQ=")</f>
        <v>#REF!</v>
      </c>
      <c r="HF43" t="e">
        <f>IF(#REF!,"AAAAAD3bfdU=",0)</f>
        <v>#REF!</v>
      </c>
      <c r="HG43" t="e">
        <f>AND(#REF!,"AAAAAD3bfdY=")</f>
        <v>#REF!</v>
      </c>
      <c r="HH43" t="e">
        <f>AND(#REF!,"AAAAAD3bfdc=")</f>
        <v>#REF!</v>
      </c>
      <c r="HI43" t="e">
        <f>AND(#REF!,"AAAAAD3bfdg=")</f>
        <v>#REF!</v>
      </c>
      <c r="HJ43" t="e">
        <f>AND(#REF!,"AAAAAD3bfdk=")</f>
        <v>#REF!</v>
      </c>
      <c r="HK43" t="e">
        <f>AND(#REF!,"AAAAAD3bfdo=")</f>
        <v>#REF!</v>
      </c>
      <c r="HL43" t="e">
        <f>AND(#REF!,"AAAAAD3bfds=")</f>
        <v>#REF!</v>
      </c>
      <c r="HM43" t="e">
        <f>AND(#REF!,"AAAAAD3bfdw=")</f>
        <v>#REF!</v>
      </c>
      <c r="HN43" t="e">
        <f>AND(#REF!,"AAAAAD3bfd0=")</f>
        <v>#REF!</v>
      </c>
      <c r="HO43" t="e">
        <f>AND(#REF!,"AAAAAD3bfd4=")</f>
        <v>#REF!</v>
      </c>
      <c r="HP43" t="e">
        <f>AND(#REF!,"AAAAAD3bfd8=")</f>
        <v>#REF!</v>
      </c>
      <c r="HQ43" t="e">
        <f>AND(#REF!,"AAAAAD3bfeA=")</f>
        <v>#REF!</v>
      </c>
      <c r="HR43" t="e">
        <f>AND(#REF!,"AAAAAD3bfeE=")</f>
        <v>#REF!</v>
      </c>
      <c r="HS43" t="e">
        <f>AND(#REF!,"AAAAAD3bfeI=")</f>
        <v>#REF!</v>
      </c>
      <c r="HT43" t="e">
        <f>AND(#REF!,"AAAAAD3bfeM=")</f>
        <v>#REF!</v>
      </c>
      <c r="HU43" t="e">
        <f>AND(#REF!,"AAAAAD3bfeQ=")</f>
        <v>#REF!</v>
      </c>
      <c r="HV43" t="e">
        <f>AND(#REF!,"AAAAAD3bfeU=")</f>
        <v>#REF!</v>
      </c>
      <c r="HW43" t="e">
        <f>AND(#REF!,"AAAAAD3bfeY=")</f>
        <v>#REF!</v>
      </c>
      <c r="HX43" t="e">
        <f>AND(#REF!,"AAAAAD3bfec=")</f>
        <v>#REF!</v>
      </c>
      <c r="HY43" t="e">
        <f>AND(#REF!,"AAAAAD3bfeg=")</f>
        <v>#REF!</v>
      </c>
      <c r="HZ43" t="e">
        <f>AND(#REF!,"AAAAAD3bfek=")</f>
        <v>#REF!</v>
      </c>
      <c r="IA43" t="e">
        <f>AND(#REF!,"AAAAAD3bfeo=")</f>
        <v>#REF!</v>
      </c>
      <c r="IB43" t="e">
        <f>AND(#REF!,"AAAAAD3bfes=")</f>
        <v>#REF!</v>
      </c>
      <c r="IC43" t="e">
        <f>AND(#REF!,"AAAAAD3bfew=")</f>
        <v>#REF!</v>
      </c>
      <c r="ID43" t="e">
        <f>IF(#REF!,"AAAAAD3bfe0=",0)</f>
        <v>#REF!</v>
      </c>
      <c r="IE43" t="e">
        <f>AND(#REF!,"AAAAAD3bfe4=")</f>
        <v>#REF!</v>
      </c>
      <c r="IF43" t="e">
        <f>AND(#REF!,"AAAAAD3bfe8=")</f>
        <v>#REF!</v>
      </c>
      <c r="IG43" t="e">
        <f>AND(#REF!,"AAAAAD3bffA=")</f>
        <v>#REF!</v>
      </c>
      <c r="IH43" t="e">
        <f>AND(#REF!,"AAAAAD3bffE=")</f>
        <v>#REF!</v>
      </c>
      <c r="II43" t="e">
        <f>AND(#REF!,"AAAAAD3bffI=")</f>
        <v>#REF!</v>
      </c>
      <c r="IJ43" t="e">
        <f>AND(#REF!,"AAAAAD3bffM=")</f>
        <v>#REF!</v>
      </c>
      <c r="IK43" t="e">
        <f>AND(#REF!,"AAAAAD3bffQ=")</f>
        <v>#REF!</v>
      </c>
      <c r="IL43" t="e">
        <f>AND(#REF!,"AAAAAD3bffU=")</f>
        <v>#REF!</v>
      </c>
      <c r="IM43" t="e">
        <f>AND(#REF!,"AAAAAD3bffY=")</f>
        <v>#REF!</v>
      </c>
      <c r="IN43" t="e">
        <f>AND(#REF!,"AAAAAD3bffc=")</f>
        <v>#REF!</v>
      </c>
      <c r="IO43" t="e">
        <f>AND(#REF!,"AAAAAD3bffg=")</f>
        <v>#REF!</v>
      </c>
      <c r="IP43" t="e">
        <f>AND(#REF!,"AAAAAD3bffk=")</f>
        <v>#REF!</v>
      </c>
      <c r="IQ43" t="e">
        <f>AND(#REF!,"AAAAAD3bffo=")</f>
        <v>#REF!</v>
      </c>
      <c r="IR43" t="e">
        <f>AND(#REF!,"AAAAAD3bffs=")</f>
        <v>#REF!</v>
      </c>
      <c r="IS43" t="e">
        <f>AND(#REF!,"AAAAAD3bffw=")</f>
        <v>#REF!</v>
      </c>
      <c r="IT43" t="e">
        <f>AND(#REF!,"AAAAAD3bff0=")</f>
        <v>#REF!</v>
      </c>
      <c r="IU43" t="e">
        <f>AND(#REF!,"AAAAAD3bff4=")</f>
        <v>#REF!</v>
      </c>
      <c r="IV43" t="e">
        <f>AND(#REF!,"AAAAAD3bff8=")</f>
        <v>#REF!</v>
      </c>
    </row>
    <row r="44" spans="1:256" x14ac:dyDescent="0.25">
      <c r="A44" t="e">
        <f>AND(#REF!,"AAAAADfzfwA=")</f>
        <v>#REF!</v>
      </c>
      <c r="B44" t="e">
        <f>AND(#REF!,"AAAAADfzfwE=")</f>
        <v>#REF!</v>
      </c>
      <c r="C44" t="e">
        <f>AND(#REF!,"AAAAADfzfwI=")</f>
        <v>#REF!</v>
      </c>
      <c r="D44" t="e">
        <f>AND(#REF!,"AAAAADfzfwM=")</f>
        <v>#REF!</v>
      </c>
      <c r="E44" t="e">
        <f>AND(#REF!,"AAAAADfzfwQ=")</f>
        <v>#REF!</v>
      </c>
      <c r="F44" t="e">
        <f>IF(#REF!,"AAAAADfzfwU=",0)</f>
        <v>#REF!</v>
      </c>
      <c r="G44" t="e">
        <f>AND(#REF!,"AAAAADfzfwY=")</f>
        <v>#REF!</v>
      </c>
      <c r="H44" t="e">
        <f>AND(#REF!,"AAAAADfzfwc=")</f>
        <v>#REF!</v>
      </c>
      <c r="I44" t="e">
        <f>AND(#REF!,"AAAAADfzfwg=")</f>
        <v>#REF!</v>
      </c>
      <c r="J44" t="e">
        <f>AND(#REF!,"AAAAADfzfwk=")</f>
        <v>#REF!</v>
      </c>
      <c r="K44" t="e">
        <f>AND(#REF!,"AAAAADfzfwo=")</f>
        <v>#REF!</v>
      </c>
      <c r="L44" t="e">
        <f>AND(#REF!,"AAAAADfzfws=")</f>
        <v>#REF!</v>
      </c>
      <c r="M44" t="e">
        <f>AND(#REF!,"AAAAADfzfww=")</f>
        <v>#REF!</v>
      </c>
      <c r="N44" t="e">
        <f>AND(#REF!,"AAAAADfzfw0=")</f>
        <v>#REF!</v>
      </c>
      <c r="O44" t="e">
        <f>AND(#REF!,"AAAAADfzfw4=")</f>
        <v>#REF!</v>
      </c>
      <c r="P44" t="e">
        <f>AND(#REF!,"AAAAADfzfw8=")</f>
        <v>#REF!</v>
      </c>
      <c r="Q44" t="e">
        <f>AND(#REF!,"AAAAADfzfxA=")</f>
        <v>#REF!</v>
      </c>
      <c r="R44" t="e">
        <f>AND(#REF!,"AAAAADfzfxE=")</f>
        <v>#REF!</v>
      </c>
      <c r="S44" t="e">
        <f>AND(#REF!,"AAAAADfzfxI=")</f>
        <v>#REF!</v>
      </c>
      <c r="T44" t="e">
        <f>AND(#REF!,"AAAAADfzfxM=")</f>
        <v>#REF!</v>
      </c>
      <c r="U44" t="e">
        <f>AND(#REF!,"AAAAADfzfxQ=")</f>
        <v>#REF!</v>
      </c>
      <c r="V44" t="e">
        <f>AND(#REF!,"AAAAADfzfxU=")</f>
        <v>#REF!</v>
      </c>
      <c r="W44" t="e">
        <f>AND(#REF!,"AAAAADfzfxY=")</f>
        <v>#REF!</v>
      </c>
      <c r="X44" t="e">
        <f>AND(#REF!,"AAAAADfzfxc=")</f>
        <v>#REF!</v>
      </c>
      <c r="Y44" t="e">
        <f>AND(#REF!,"AAAAADfzfxg=")</f>
        <v>#REF!</v>
      </c>
      <c r="Z44" t="e">
        <f>AND(#REF!,"AAAAADfzfxk=")</f>
        <v>#REF!</v>
      </c>
      <c r="AA44" t="e">
        <f>AND(#REF!,"AAAAADfzfxo=")</f>
        <v>#REF!</v>
      </c>
      <c r="AB44" t="e">
        <f>AND(#REF!,"AAAAADfzfxs=")</f>
        <v>#REF!</v>
      </c>
      <c r="AC44" t="e">
        <f>AND(#REF!,"AAAAADfzfxw=")</f>
        <v>#REF!</v>
      </c>
      <c r="AD44" t="e">
        <f>IF(#REF!,"AAAAADfzfx0=",0)</f>
        <v>#REF!</v>
      </c>
      <c r="AE44" t="e">
        <f>AND(#REF!,"AAAAADfzfx4=")</f>
        <v>#REF!</v>
      </c>
      <c r="AF44" t="e">
        <f>AND(#REF!,"AAAAADfzfx8=")</f>
        <v>#REF!</v>
      </c>
      <c r="AG44" t="e">
        <f>AND(#REF!,"AAAAADfzfyA=")</f>
        <v>#REF!</v>
      </c>
      <c r="AH44" t="e">
        <f>AND(#REF!,"AAAAADfzfyE=")</f>
        <v>#REF!</v>
      </c>
      <c r="AI44" t="e">
        <f>AND(#REF!,"AAAAADfzfyI=")</f>
        <v>#REF!</v>
      </c>
      <c r="AJ44" t="e">
        <f>AND(#REF!,"AAAAADfzfyM=")</f>
        <v>#REF!</v>
      </c>
      <c r="AK44" t="e">
        <f>AND(#REF!,"AAAAADfzfyQ=")</f>
        <v>#REF!</v>
      </c>
      <c r="AL44" t="e">
        <f>AND(#REF!,"AAAAADfzfyU=")</f>
        <v>#REF!</v>
      </c>
      <c r="AM44" t="e">
        <f>AND(#REF!,"AAAAADfzfyY=")</f>
        <v>#REF!</v>
      </c>
      <c r="AN44" t="e">
        <f>AND(#REF!,"AAAAADfzfyc=")</f>
        <v>#REF!</v>
      </c>
      <c r="AO44" t="e">
        <f>AND(#REF!,"AAAAADfzfyg=")</f>
        <v>#REF!</v>
      </c>
      <c r="AP44" t="e">
        <f>AND(#REF!,"AAAAADfzfyk=")</f>
        <v>#REF!</v>
      </c>
      <c r="AQ44" t="e">
        <f>AND(#REF!,"AAAAADfzfyo=")</f>
        <v>#REF!</v>
      </c>
      <c r="AR44" t="e">
        <f>AND(#REF!,"AAAAADfzfys=")</f>
        <v>#REF!</v>
      </c>
      <c r="AS44" t="e">
        <f>AND(#REF!,"AAAAADfzfyw=")</f>
        <v>#REF!</v>
      </c>
      <c r="AT44" t="e">
        <f>AND(#REF!,"AAAAADfzfy0=")</f>
        <v>#REF!</v>
      </c>
      <c r="AU44" t="e">
        <f>AND(#REF!,"AAAAADfzfy4=")</f>
        <v>#REF!</v>
      </c>
      <c r="AV44" t="e">
        <f>AND(#REF!,"AAAAADfzfy8=")</f>
        <v>#REF!</v>
      </c>
      <c r="AW44" t="e">
        <f>AND(#REF!,"AAAAADfzfzA=")</f>
        <v>#REF!</v>
      </c>
      <c r="AX44" t="e">
        <f>AND(#REF!,"AAAAADfzfzE=")</f>
        <v>#REF!</v>
      </c>
      <c r="AY44" t="e">
        <f>AND(#REF!,"AAAAADfzfzI=")</f>
        <v>#REF!</v>
      </c>
      <c r="AZ44" t="e">
        <f>AND(#REF!,"AAAAADfzfzM=")</f>
        <v>#REF!</v>
      </c>
      <c r="BA44" t="e">
        <f>AND(#REF!,"AAAAADfzfzQ=")</f>
        <v>#REF!</v>
      </c>
      <c r="BB44" t="e">
        <f>IF(#REF!,"AAAAADfzfzU=",0)</f>
        <v>#REF!</v>
      </c>
      <c r="BC44" t="e">
        <f>AND(#REF!,"AAAAADfzfzY=")</f>
        <v>#REF!</v>
      </c>
      <c r="BD44" t="e">
        <f>AND(#REF!,"AAAAADfzfzc=")</f>
        <v>#REF!</v>
      </c>
      <c r="BE44" t="e">
        <f>AND(#REF!,"AAAAADfzfzg=")</f>
        <v>#REF!</v>
      </c>
      <c r="BF44" t="e">
        <f>AND(#REF!,"AAAAADfzfzk=")</f>
        <v>#REF!</v>
      </c>
      <c r="BG44" t="e">
        <f>AND(#REF!,"AAAAADfzfzo=")</f>
        <v>#REF!</v>
      </c>
      <c r="BH44" t="e">
        <f>AND(#REF!,"AAAAADfzfzs=")</f>
        <v>#REF!</v>
      </c>
      <c r="BI44" t="e">
        <f>AND(#REF!,"AAAAADfzfzw=")</f>
        <v>#REF!</v>
      </c>
      <c r="BJ44" t="e">
        <f>AND(#REF!,"AAAAADfzfz0=")</f>
        <v>#REF!</v>
      </c>
      <c r="BK44" t="e">
        <f>AND(#REF!,"AAAAADfzfz4=")</f>
        <v>#REF!</v>
      </c>
      <c r="BL44" t="e">
        <f>AND(#REF!,"AAAAADfzfz8=")</f>
        <v>#REF!</v>
      </c>
      <c r="BM44" t="e">
        <f>AND(#REF!,"AAAAADfzf0A=")</f>
        <v>#REF!</v>
      </c>
      <c r="BN44" t="e">
        <f>AND(#REF!,"AAAAADfzf0E=")</f>
        <v>#REF!</v>
      </c>
      <c r="BO44" t="e">
        <f>AND(#REF!,"AAAAADfzf0I=")</f>
        <v>#REF!</v>
      </c>
      <c r="BP44" t="e">
        <f>AND(#REF!,"AAAAADfzf0M=")</f>
        <v>#REF!</v>
      </c>
      <c r="BQ44" t="e">
        <f>AND(#REF!,"AAAAADfzf0Q=")</f>
        <v>#REF!</v>
      </c>
      <c r="BR44" t="e">
        <f>AND(#REF!,"AAAAADfzf0U=")</f>
        <v>#REF!</v>
      </c>
      <c r="BS44" t="e">
        <f>AND(#REF!,"AAAAADfzf0Y=")</f>
        <v>#REF!</v>
      </c>
      <c r="BT44" t="e">
        <f>AND(#REF!,"AAAAADfzf0c=")</f>
        <v>#REF!</v>
      </c>
      <c r="BU44" t="e">
        <f>AND(#REF!,"AAAAADfzf0g=")</f>
        <v>#REF!</v>
      </c>
      <c r="BV44" t="e">
        <f>AND(#REF!,"AAAAADfzf0k=")</f>
        <v>#REF!</v>
      </c>
      <c r="BW44" t="e">
        <f>AND(#REF!,"AAAAADfzf0o=")</f>
        <v>#REF!</v>
      </c>
      <c r="BX44" t="e">
        <f>AND(#REF!,"AAAAADfzf0s=")</f>
        <v>#REF!</v>
      </c>
      <c r="BY44" t="e">
        <f>AND(#REF!,"AAAAADfzf0w=")</f>
        <v>#REF!</v>
      </c>
      <c r="BZ44" t="e">
        <f>IF(#REF!,"AAAAADfzf00=",0)</f>
        <v>#REF!</v>
      </c>
      <c r="CA44" t="e">
        <f>AND(#REF!,"AAAAADfzf04=")</f>
        <v>#REF!</v>
      </c>
      <c r="CB44" t="e">
        <f>AND(#REF!,"AAAAADfzf08=")</f>
        <v>#REF!</v>
      </c>
      <c r="CC44" t="e">
        <f>AND(#REF!,"AAAAADfzf1A=")</f>
        <v>#REF!</v>
      </c>
      <c r="CD44" t="e">
        <f>AND(#REF!,"AAAAADfzf1E=")</f>
        <v>#REF!</v>
      </c>
      <c r="CE44" t="e">
        <f>AND(#REF!,"AAAAADfzf1I=")</f>
        <v>#REF!</v>
      </c>
      <c r="CF44" t="e">
        <f>AND(#REF!,"AAAAADfzf1M=")</f>
        <v>#REF!</v>
      </c>
      <c r="CG44" t="e">
        <f>AND(#REF!,"AAAAADfzf1Q=")</f>
        <v>#REF!</v>
      </c>
      <c r="CH44" t="e">
        <f>AND(#REF!,"AAAAADfzf1U=")</f>
        <v>#REF!</v>
      </c>
      <c r="CI44" t="e">
        <f>AND(#REF!,"AAAAADfzf1Y=")</f>
        <v>#REF!</v>
      </c>
      <c r="CJ44" t="e">
        <f>AND(#REF!,"AAAAADfzf1c=")</f>
        <v>#REF!</v>
      </c>
      <c r="CK44" t="e">
        <f>AND(#REF!,"AAAAADfzf1g=")</f>
        <v>#REF!</v>
      </c>
      <c r="CL44" t="e">
        <f>AND(#REF!,"AAAAADfzf1k=")</f>
        <v>#REF!</v>
      </c>
      <c r="CM44" t="e">
        <f>AND(#REF!,"AAAAADfzf1o=")</f>
        <v>#REF!</v>
      </c>
      <c r="CN44" t="e">
        <f>AND(#REF!,"AAAAADfzf1s=")</f>
        <v>#REF!</v>
      </c>
      <c r="CO44" t="e">
        <f>AND(#REF!,"AAAAADfzf1w=")</f>
        <v>#REF!</v>
      </c>
      <c r="CP44" t="e">
        <f>AND(#REF!,"AAAAADfzf10=")</f>
        <v>#REF!</v>
      </c>
      <c r="CQ44" t="e">
        <f>AND(#REF!,"AAAAADfzf14=")</f>
        <v>#REF!</v>
      </c>
      <c r="CR44" t="e">
        <f>AND(#REF!,"AAAAADfzf18=")</f>
        <v>#REF!</v>
      </c>
      <c r="CS44" t="e">
        <f>AND(#REF!,"AAAAADfzf2A=")</f>
        <v>#REF!</v>
      </c>
      <c r="CT44" t="e">
        <f>AND(#REF!,"AAAAADfzf2E=")</f>
        <v>#REF!</v>
      </c>
      <c r="CU44" t="e">
        <f>AND(#REF!,"AAAAADfzf2I=")</f>
        <v>#REF!</v>
      </c>
      <c r="CV44" t="e">
        <f>AND(#REF!,"AAAAADfzf2M=")</f>
        <v>#REF!</v>
      </c>
      <c r="CW44" t="e">
        <f>AND(#REF!,"AAAAADfzf2Q=")</f>
        <v>#REF!</v>
      </c>
      <c r="CX44" t="e">
        <f>IF(#REF!,"AAAAADfzf2U=",0)</f>
        <v>#REF!</v>
      </c>
      <c r="CY44" t="e">
        <f>IF(#REF!,"AAAAADfzf2Y=",0)</f>
        <v>#REF!</v>
      </c>
      <c r="CZ44" t="e">
        <f>IF(#REF!,"AAAAADfzf2c=",0)</f>
        <v>#REF!</v>
      </c>
      <c r="DA44" t="e">
        <f>IF(#REF!,"AAAAADfzf2g=",0)</f>
        <v>#REF!</v>
      </c>
      <c r="DB44" t="e">
        <f>IF(#REF!,"AAAAADfzf2k=",0)</f>
        <v>#REF!</v>
      </c>
      <c r="DC44" t="e">
        <f>IF(#REF!,"AAAAADfzf2o=",0)</f>
        <v>#REF!</v>
      </c>
      <c r="DD44" t="e">
        <f>IF(#REF!,"AAAAADfzf2s=",0)</f>
        <v>#REF!</v>
      </c>
      <c r="DE44" t="e">
        <f>IF(#REF!,"AAAAADfzf2w=",0)</f>
        <v>#REF!</v>
      </c>
      <c r="DF44" t="e">
        <f>IF(#REF!,"AAAAADfzf20=",0)</f>
        <v>#REF!</v>
      </c>
      <c r="DG44" t="e">
        <f>IF(#REF!,"AAAAADfzf24=",0)</f>
        <v>#REF!</v>
      </c>
      <c r="DH44" t="e">
        <f>IF(#REF!,"AAAAADfzf28=",0)</f>
        <v>#REF!</v>
      </c>
      <c r="DI44" t="e">
        <f>IF(#REF!,"AAAAADfzf3A=",0)</f>
        <v>#REF!</v>
      </c>
      <c r="DJ44" t="e">
        <f>IF(#REF!,"AAAAADfzf3E=",0)</f>
        <v>#REF!</v>
      </c>
      <c r="DK44" t="e">
        <f>IF(#REF!,"AAAAADfzf3I=",0)</f>
        <v>#REF!</v>
      </c>
      <c r="DL44" t="e">
        <f>IF(#REF!,"AAAAADfzf3M=",0)</f>
        <v>#REF!</v>
      </c>
      <c r="DM44" t="e">
        <f>IF(#REF!,"AAAAADfzf3Q=",0)</f>
        <v>#REF!</v>
      </c>
      <c r="DN44" t="e">
        <f>IF(#REF!,"AAAAADfzf3U=",0)</f>
        <v>#REF!</v>
      </c>
      <c r="DO44" t="e">
        <f>IF(#REF!,"AAAAADfzf3Y=",0)</f>
        <v>#REF!</v>
      </c>
      <c r="DP44" t="e">
        <f>IF(#REF!,"AAAAADfzf3c=",0)</f>
        <v>#REF!</v>
      </c>
      <c r="DQ44" t="e">
        <f>IF(#REF!,"AAAAADfzf3g=",0)</f>
        <v>#REF!</v>
      </c>
      <c r="DR44" t="e">
        <f>IF(#REF!,"AAAAADfzf3k=",0)</f>
        <v>#REF!</v>
      </c>
      <c r="DS44" t="e">
        <f>IF(#REF!,"AAAAADfzf3o=",0)</f>
        <v>#REF!</v>
      </c>
      <c r="DT44" t="e">
        <f>IF(#REF!,"AAAAADfzf3s=",0)</f>
        <v>#REF!</v>
      </c>
      <c r="DU44" t="e">
        <f>IF(#REF!,"AAAAADfzf3w=",0)</f>
        <v>#REF!</v>
      </c>
      <c r="DV44" t="e">
        <f>AND(#REF!,"AAAAADfzf30=")</f>
        <v>#REF!</v>
      </c>
      <c r="DW44" t="e">
        <f>AND(#REF!,"AAAAADfzf34=")</f>
        <v>#REF!</v>
      </c>
      <c r="DX44" t="e">
        <f>AND(#REF!,"AAAAADfzf38=")</f>
        <v>#REF!</v>
      </c>
      <c r="DY44" t="e">
        <f>AND(#REF!,"AAAAADfzf4A=")</f>
        <v>#REF!</v>
      </c>
      <c r="DZ44" t="e">
        <f>AND(#REF!,"AAAAADfzf4E=")</f>
        <v>#REF!</v>
      </c>
      <c r="EA44" t="e">
        <f>AND(#REF!,"AAAAADfzf4I=")</f>
        <v>#REF!</v>
      </c>
      <c r="EB44" t="e">
        <f>AND(#REF!,"AAAAADfzf4M=")</f>
        <v>#REF!</v>
      </c>
      <c r="EC44" t="e">
        <f>AND(#REF!,"AAAAADfzf4Q=")</f>
        <v>#REF!</v>
      </c>
      <c r="ED44" t="e">
        <f>AND(#REF!,"AAAAADfzf4U=")</f>
        <v>#REF!</v>
      </c>
      <c r="EE44" t="e">
        <f>AND(#REF!,"AAAAADfzf4Y=")</f>
        <v>#REF!</v>
      </c>
      <c r="EF44" t="e">
        <f>AND(#REF!,"AAAAADfzf4c=")</f>
        <v>#REF!</v>
      </c>
      <c r="EG44" t="e">
        <f>AND(#REF!,"AAAAADfzf4g=")</f>
        <v>#REF!</v>
      </c>
      <c r="EH44" t="e">
        <f>AND(#REF!,"AAAAADfzf4k=")</f>
        <v>#REF!</v>
      </c>
      <c r="EI44" t="e">
        <f>AND(#REF!,"AAAAADfzf4o=")</f>
        <v>#REF!</v>
      </c>
      <c r="EJ44" t="e">
        <f>AND(#REF!,"AAAAADfzf4s=")</f>
        <v>#REF!</v>
      </c>
      <c r="EK44" t="e">
        <f>AND(#REF!,"AAAAADfzf4w=")</f>
        <v>#REF!</v>
      </c>
      <c r="EL44" t="e">
        <f>AND(#REF!,"AAAAADfzf40=")</f>
        <v>#REF!</v>
      </c>
      <c r="EM44" t="e">
        <f>AND(#REF!,"AAAAADfzf44=")</f>
        <v>#REF!</v>
      </c>
      <c r="EN44" t="e">
        <f>AND(#REF!,"AAAAADfzf48=")</f>
        <v>#REF!</v>
      </c>
      <c r="EO44" t="e">
        <f>AND(#REF!,"AAAAADfzf5A=")</f>
        <v>#REF!</v>
      </c>
      <c r="EP44" t="e">
        <f>AND(#REF!,"AAAAADfzf5E=")</f>
        <v>#REF!</v>
      </c>
      <c r="EQ44" t="e">
        <f>AND(#REF!,"AAAAADfzf5I=")</f>
        <v>#REF!</v>
      </c>
      <c r="ER44" t="e">
        <f>AND(#REF!,"AAAAADfzf5M=")</f>
        <v>#REF!</v>
      </c>
      <c r="ES44" t="e">
        <f>AND(#REF!,"AAAAADfzf5Q=")</f>
        <v>#REF!</v>
      </c>
      <c r="ET44" t="e">
        <f>IF(#REF!,"AAAAADfzf5U=",0)</f>
        <v>#REF!</v>
      </c>
      <c r="EU44" t="e">
        <f>AND(#REF!,"AAAAADfzf5Y=")</f>
        <v>#REF!</v>
      </c>
      <c r="EV44" t="e">
        <f>AND(#REF!,"AAAAADfzf5c=")</f>
        <v>#REF!</v>
      </c>
      <c r="EW44" t="e">
        <f>AND(#REF!,"AAAAADfzf5g=")</f>
        <v>#REF!</v>
      </c>
      <c r="EX44" t="e">
        <f>AND(#REF!,"AAAAADfzf5k=")</f>
        <v>#REF!</v>
      </c>
      <c r="EY44" t="e">
        <f>AND(#REF!,"AAAAADfzf5o=")</f>
        <v>#REF!</v>
      </c>
      <c r="EZ44" t="e">
        <f>AND(#REF!,"AAAAADfzf5s=")</f>
        <v>#REF!</v>
      </c>
      <c r="FA44" t="e">
        <f>AND(#REF!,"AAAAADfzf5w=")</f>
        <v>#REF!</v>
      </c>
      <c r="FB44" t="e">
        <f>AND(#REF!,"AAAAADfzf50=")</f>
        <v>#REF!</v>
      </c>
      <c r="FC44" t="e">
        <f>AND(#REF!,"AAAAADfzf54=")</f>
        <v>#REF!</v>
      </c>
      <c r="FD44" t="e">
        <f>AND(#REF!,"AAAAADfzf58=")</f>
        <v>#REF!</v>
      </c>
      <c r="FE44" t="e">
        <f>AND(#REF!,"AAAAADfzf6A=")</f>
        <v>#REF!</v>
      </c>
      <c r="FF44" t="e">
        <f>AND(#REF!,"AAAAADfzf6E=")</f>
        <v>#REF!</v>
      </c>
      <c r="FG44" t="e">
        <f>AND(#REF!,"AAAAADfzf6I=")</f>
        <v>#REF!</v>
      </c>
      <c r="FH44" t="e">
        <f>AND(#REF!,"AAAAADfzf6M=")</f>
        <v>#REF!</v>
      </c>
      <c r="FI44" t="e">
        <f>AND(#REF!,"AAAAADfzf6Q=")</f>
        <v>#REF!</v>
      </c>
      <c r="FJ44" t="e">
        <f>AND(#REF!,"AAAAADfzf6U=")</f>
        <v>#REF!</v>
      </c>
      <c r="FK44" t="e">
        <f>AND(#REF!,"AAAAADfzf6Y=")</f>
        <v>#REF!</v>
      </c>
      <c r="FL44" t="e">
        <f>AND(#REF!,"AAAAADfzf6c=")</f>
        <v>#REF!</v>
      </c>
      <c r="FM44" t="e">
        <f>AND(#REF!,"AAAAADfzf6g=")</f>
        <v>#REF!</v>
      </c>
      <c r="FN44" t="e">
        <f>AND(#REF!,"AAAAADfzf6k=")</f>
        <v>#REF!</v>
      </c>
      <c r="FO44" t="e">
        <f>AND(#REF!,"AAAAADfzf6o=")</f>
        <v>#REF!</v>
      </c>
      <c r="FP44" t="e">
        <f>AND(#REF!,"AAAAADfzf6s=")</f>
        <v>#REF!</v>
      </c>
      <c r="FQ44" t="e">
        <f>AND(#REF!,"AAAAADfzf6w=")</f>
        <v>#REF!</v>
      </c>
      <c r="FR44" t="e">
        <f>AND(#REF!,"AAAAADfzf60=")</f>
        <v>#REF!</v>
      </c>
      <c r="FS44" t="e">
        <f>IF(#REF!,"AAAAADfzf64=",0)</f>
        <v>#REF!</v>
      </c>
      <c r="FT44" t="e">
        <f>AND(#REF!,"AAAAADfzf68=")</f>
        <v>#REF!</v>
      </c>
      <c r="FU44" t="e">
        <f>AND(#REF!,"AAAAADfzf7A=")</f>
        <v>#REF!</v>
      </c>
      <c r="FV44" t="e">
        <f>AND(#REF!,"AAAAADfzf7E=")</f>
        <v>#REF!</v>
      </c>
      <c r="FW44" t="e">
        <f>AND(#REF!,"AAAAADfzf7I=")</f>
        <v>#REF!</v>
      </c>
      <c r="FX44" t="e">
        <f>AND(#REF!,"AAAAADfzf7M=")</f>
        <v>#REF!</v>
      </c>
      <c r="FY44" t="e">
        <f>AND(#REF!,"AAAAADfzf7Q=")</f>
        <v>#REF!</v>
      </c>
      <c r="FZ44" t="e">
        <f>AND(#REF!,"AAAAADfzf7U=")</f>
        <v>#REF!</v>
      </c>
      <c r="GA44" t="e">
        <f>AND(#REF!,"AAAAADfzf7Y=")</f>
        <v>#REF!</v>
      </c>
      <c r="GB44" t="e">
        <f>AND(#REF!,"AAAAADfzf7c=")</f>
        <v>#REF!</v>
      </c>
      <c r="GC44" t="e">
        <f>AND(#REF!,"AAAAADfzf7g=")</f>
        <v>#REF!</v>
      </c>
      <c r="GD44" t="e">
        <f>AND(#REF!,"AAAAADfzf7k=")</f>
        <v>#REF!</v>
      </c>
      <c r="GE44" t="e">
        <f>AND(#REF!,"AAAAADfzf7o=")</f>
        <v>#REF!</v>
      </c>
      <c r="GF44" t="e">
        <f>AND(#REF!,"AAAAADfzf7s=")</f>
        <v>#REF!</v>
      </c>
      <c r="GG44" t="e">
        <f>AND(#REF!,"AAAAADfzf7w=")</f>
        <v>#REF!</v>
      </c>
      <c r="GH44" t="e">
        <f>AND(#REF!,"AAAAADfzf70=")</f>
        <v>#REF!</v>
      </c>
      <c r="GI44" t="e">
        <f>AND(#REF!,"AAAAADfzf74=")</f>
        <v>#REF!</v>
      </c>
      <c r="GJ44" t="e">
        <f>AND(#REF!,"AAAAADfzf78=")</f>
        <v>#REF!</v>
      </c>
      <c r="GK44" t="e">
        <f>AND(#REF!,"AAAAADfzf8A=")</f>
        <v>#REF!</v>
      </c>
      <c r="GL44" t="e">
        <f>AND(#REF!,"AAAAADfzf8E=")</f>
        <v>#REF!</v>
      </c>
      <c r="GM44" t="e">
        <f>AND(#REF!,"AAAAADfzf8I=")</f>
        <v>#REF!</v>
      </c>
      <c r="GN44" t="e">
        <f>AND(#REF!,"AAAAADfzf8M=")</f>
        <v>#REF!</v>
      </c>
      <c r="GO44" t="e">
        <f>AND(#REF!,"AAAAADfzf8Q=")</f>
        <v>#REF!</v>
      </c>
      <c r="GP44" t="e">
        <f>AND(#REF!,"AAAAADfzf8U=")</f>
        <v>#REF!</v>
      </c>
      <c r="GQ44" t="e">
        <f>AND(#REF!,"AAAAADfzf8Y=")</f>
        <v>#REF!</v>
      </c>
      <c r="GR44" t="e">
        <f>IF(#REF!,"AAAAADfzf8c=",0)</f>
        <v>#REF!</v>
      </c>
      <c r="GS44" t="e">
        <f>AND(#REF!,"AAAAADfzf8g=")</f>
        <v>#REF!</v>
      </c>
      <c r="GT44" t="e">
        <f>AND(#REF!,"AAAAADfzf8k=")</f>
        <v>#REF!</v>
      </c>
      <c r="GU44" t="e">
        <f>AND(#REF!,"AAAAADfzf8o=")</f>
        <v>#REF!</v>
      </c>
      <c r="GV44" t="e">
        <f>AND(#REF!,"AAAAADfzf8s=")</f>
        <v>#REF!</v>
      </c>
      <c r="GW44" t="e">
        <f>AND(#REF!,"AAAAADfzf8w=")</f>
        <v>#REF!</v>
      </c>
      <c r="GX44" t="e">
        <f>AND(#REF!,"AAAAADfzf80=")</f>
        <v>#REF!</v>
      </c>
      <c r="GY44" t="e">
        <f>AND(#REF!,"AAAAADfzf84=")</f>
        <v>#REF!</v>
      </c>
      <c r="GZ44" t="e">
        <f>AND(#REF!,"AAAAADfzf88=")</f>
        <v>#REF!</v>
      </c>
      <c r="HA44" t="e">
        <f>AND(#REF!,"AAAAADfzf9A=")</f>
        <v>#REF!</v>
      </c>
      <c r="HB44" t="e">
        <f>AND(#REF!,"AAAAADfzf9E=")</f>
        <v>#REF!</v>
      </c>
      <c r="HC44" t="e">
        <f>AND(#REF!,"AAAAADfzf9I=")</f>
        <v>#REF!</v>
      </c>
      <c r="HD44" t="e">
        <f>AND(#REF!,"AAAAADfzf9M=")</f>
        <v>#REF!</v>
      </c>
      <c r="HE44" t="e">
        <f>AND(#REF!,"AAAAADfzf9Q=")</f>
        <v>#REF!</v>
      </c>
      <c r="HF44" t="e">
        <f>AND(#REF!,"AAAAADfzf9U=")</f>
        <v>#REF!</v>
      </c>
      <c r="HG44" t="e">
        <f>AND(#REF!,"AAAAADfzf9Y=")</f>
        <v>#REF!</v>
      </c>
      <c r="HH44" t="e">
        <f>AND(#REF!,"AAAAADfzf9c=")</f>
        <v>#REF!</v>
      </c>
      <c r="HI44" t="e">
        <f>AND(#REF!,"AAAAADfzf9g=")</f>
        <v>#REF!</v>
      </c>
      <c r="HJ44" t="e">
        <f>AND(#REF!,"AAAAADfzf9k=")</f>
        <v>#REF!</v>
      </c>
      <c r="HK44" t="e">
        <f>AND(#REF!,"AAAAADfzf9o=")</f>
        <v>#REF!</v>
      </c>
      <c r="HL44" t="e">
        <f>AND(#REF!,"AAAAADfzf9s=")</f>
        <v>#REF!</v>
      </c>
      <c r="HM44" t="e">
        <f>AND(#REF!,"AAAAADfzf9w=")</f>
        <v>#REF!</v>
      </c>
      <c r="HN44" t="e">
        <f>AND(#REF!,"AAAAADfzf90=")</f>
        <v>#REF!</v>
      </c>
      <c r="HO44" t="e">
        <f>AND(#REF!,"AAAAADfzf94=")</f>
        <v>#REF!</v>
      </c>
      <c r="HP44" t="e">
        <f>AND(#REF!,"AAAAADfzf98=")</f>
        <v>#REF!</v>
      </c>
      <c r="HQ44" t="e">
        <f>IF(#REF!,"AAAAADfzf+A=",0)</f>
        <v>#REF!</v>
      </c>
      <c r="HR44" t="e">
        <f>AND(#REF!,"AAAAADfzf+E=")</f>
        <v>#REF!</v>
      </c>
      <c r="HS44" t="e">
        <f>AND(#REF!,"AAAAADfzf+I=")</f>
        <v>#REF!</v>
      </c>
      <c r="HT44" t="e">
        <f>AND(#REF!,"AAAAADfzf+M=")</f>
        <v>#REF!</v>
      </c>
      <c r="HU44" t="e">
        <f>AND(#REF!,"AAAAADfzf+Q=")</f>
        <v>#REF!</v>
      </c>
      <c r="HV44" t="e">
        <f>AND(#REF!,"AAAAADfzf+U=")</f>
        <v>#REF!</v>
      </c>
      <c r="HW44" t="e">
        <f>AND(#REF!,"AAAAADfzf+Y=")</f>
        <v>#REF!</v>
      </c>
      <c r="HX44" t="e">
        <f>AND(#REF!,"AAAAADfzf+c=")</f>
        <v>#REF!</v>
      </c>
      <c r="HY44" t="e">
        <f>AND(#REF!,"AAAAADfzf+g=")</f>
        <v>#REF!</v>
      </c>
      <c r="HZ44" t="e">
        <f>AND(#REF!,"AAAAADfzf+k=")</f>
        <v>#REF!</v>
      </c>
      <c r="IA44" t="e">
        <f>AND(#REF!,"AAAAADfzf+o=")</f>
        <v>#REF!</v>
      </c>
      <c r="IB44" t="e">
        <f>AND(#REF!,"AAAAADfzf+s=")</f>
        <v>#REF!</v>
      </c>
      <c r="IC44" t="e">
        <f>AND(#REF!,"AAAAADfzf+w=")</f>
        <v>#REF!</v>
      </c>
      <c r="ID44" t="e">
        <f>AND(#REF!,"AAAAADfzf+0=")</f>
        <v>#REF!</v>
      </c>
      <c r="IE44" t="e">
        <f>AND(#REF!,"AAAAADfzf+4=")</f>
        <v>#REF!</v>
      </c>
      <c r="IF44" t="e">
        <f>AND(#REF!,"AAAAADfzf+8=")</f>
        <v>#REF!</v>
      </c>
      <c r="IG44" t="e">
        <f>AND(#REF!,"AAAAADfzf/A=")</f>
        <v>#REF!</v>
      </c>
      <c r="IH44" t="e">
        <f>AND(#REF!,"AAAAADfzf/E=")</f>
        <v>#REF!</v>
      </c>
      <c r="II44" t="e">
        <f>AND(#REF!,"AAAAADfzf/I=")</f>
        <v>#REF!</v>
      </c>
      <c r="IJ44" t="e">
        <f>AND(#REF!,"AAAAADfzf/M=")</f>
        <v>#REF!</v>
      </c>
      <c r="IK44" t="e">
        <f>AND(#REF!,"AAAAADfzf/Q=")</f>
        <v>#REF!</v>
      </c>
      <c r="IL44" t="e">
        <f>AND(#REF!,"AAAAADfzf/U=")</f>
        <v>#REF!</v>
      </c>
      <c r="IM44" t="e">
        <f>AND(#REF!,"AAAAADfzf/Y=")</f>
        <v>#REF!</v>
      </c>
      <c r="IN44" t="e">
        <f>AND(#REF!,"AAAAADfzf/c=")</f>
        <v>#REF!</v>
      </c>
      <c r="IO44" t="e">
        <f>AND(#REF!,"AAAAADfzf/g=")</f>
        <v>#REF!</v>
      </c>
      <c r="IP44" t="e">
        <f>IF(#REF!,"AAAAADfzf/k=",0)</f>
        <v>#REF!</v>
      </c>
      <c r="IQ44" t="e">
        <f>AND(#REF!,"AAAAADfzf/o=")</f>
        <v>#REF!</v>
      </c>
      <c r="IR44" t="e">
        <f>AND(#REF!,"AAAAADfzf/s=")</f>
        <v>#REF!</v>
      </c>
      <c r="IS44" t="e">
        <f>AND(#REF!,"AAAAADfzf/w=")</f>
        <v>#REF!</v>
      </c>
      <c r="IT44" t="e">
        <f>AND(#REF!,"AAAAADfzf/0=")</f>
        <v>#REF!</v>
      </c>
      <c r="IU44" t="e">
        <f>AND(#REF!,"AAAAADfzf/4=")</f>
        <v>#REF!</v>
      </c>
      <c r="IV44" t="e">
        <f>AND(#REF!,"AAAAADfzf/8=")</f>
        <v>#REF!</v>
      </c>
    </row>
    <row r="45" spans="1:256" x14ac:dyDescent="0.25">
      <c r="A45" t="e">
        <f>AND(#REF!,"AAAAAH/c3gA=")</f>
        <v>#REF!</v>
      </c>
      <c r="B45" t="e">
        <f>AND(#REF!,"AAAAAH/c3gE=")</f>
        <v>#REF!</v>
      </c>
      <c r="C45" t="e">
        <f>AND(#REF!,"AAAAAH/c3gI=")</f>
        <v>#REF!</v>
      </c>
      <c r="D45" t="e">
        <f>AND(#REF!,"AAAAAH/c3gM=")</f>
        <v>#REF!</v>
      </c>
      <c r="E45" t="e">
        <f>AND(#REF!,"AAAAAH/c3gQ=")</f>
        <v>#REF!</v>
      </c>
      <c r="F45" t="e">
        <f>AND(#REF!,"AAAAAH/c3gU=")</f>
        <v>#REF!</v>
      </c>
      <c r="G45" t="e">
        <f>AND(#REF!,"AAAAAH/c3gY=")</f>
        <v>#REF!</v>
      </c>
      <c r="H45" t="e">
        <f>AND(#REF!,"AAAAAH/c3gc=")</f>
        <v>#REF!</v>
      </c>
      <c r="I45" t="e">
        <f>AND(#REF!,"AAAAAH/c3gg=")</f>
        <v>#REF!</v>
      </c>
      <c r="J45" t="e">
        <f>AND(#REF!,"AAAAAH/c3gk=")</f>
        <v>#REF!</v>
      </c>
      <c r="K45" t="e">
        <f>AND(#REF!,"AAAAAH/c3go=")</f>
        <v>#REF!</v>
      </c>
      <c r="L45" t="e">
        <f>AND(#REF!,"AAAAAH/c3gs=")</f>
        <v>#REF!</v>
      </c>
      <c r="M45" t="e">
        <f>AND(#REF!,"AAAAAH/c3gw=")</f>
        <v>#REF!</v>
      </c>
      <c r="N45" t="e">
        <f>AND(#REF!,"AAAAAH/c3g0=")</f>
        <v>#REF!</v>
      </c>
      <c r="O45" t="e">
        <f>AND(#REF!,"AAAAAH/c3g4=")</f>
        <v>#REF!</v>
      </c>
      <c r="P45" t="e">
        <f>AND(#REF!,"AAAAAH/c3g8=")</f>
        <v>#REF!</v>
      </c>
      <c r="Q45" t="e">
        <f>AND(#REF!,"AAAAAH/c3hA=")</f>
        <v>#REF!</v>
      </c>
      <c r="R45" t="e">
        <f>AND(#REF!,"AAAAAH/c3hE=")</f>
        <v>#REF!</v>
      </c>
      <c r="S45" t="e">
        <f>IF(#REF!,"AAAAAH/c3hI=",0)</f>
        <v>#REF!</v>
      </c>
      <c r="T45" t="e">
        <f>AND(#REF!,"AAAAAH/c3hM=")</f>
        <v>#REF!</v>
      </c>
      <c r="U45" t="e">
        <f>AND(#REF!,"AAAAAH/c3hQ=")</f>
        <v>#REF!</v>
      </c>
      <c r="V45" t="e">
        <f>AND(#REF!,"AAAAAH/c3hU=")</f>
        <v>#REF!</v>
      </c>
      <c r="W45" t="e">
        <f>AND(#REF!,"AAAAAH/c3hY=")</f>
        <v>#REF!</v>
      </c>
      <c r="X45" t="e">
        <f>AND(#REF!,"AAAAAH/c3hc=")</f>
        <v>#REF!</v>
      </c>
      <c r="Y45" t="e">
        <f>AND(#REF!,"AAAAAH/c3hg=")</f>
        <v>#REF!</v>
      </c>
      <c r="Z45" t="e">
        <f>AND(#REF!,"AAAAAH/c3hk=")</f>
        <v>#REF!</v>
      </c>
      <c r="AA45" t="e">
        <f>AND(#REF!,"AAAAAH/c3ho=")</f>
        <v>#REF!</v>
      </c>
      <c r="AB45" t="e">
        <f>AND(#REF!,"AAAAAH/c3hs=")</f>
        <v>#REF!</v>
      </c>
      <c r="AC45" t="e">
        <f>AND(#REF!,"AAAAAH/c3hw=")</f>
        <v>#REF!</v>
      </c>
      <c r="AD45" t="e">
        <f>AND(#REF!,"AAAAAH/c3h0=")</f>
        <v>#REF!</v>
      </c>
      <c r="AE45" t="e">
        <f>AND(#REF!,"AAAAAH/c3h4=")</f>
        <v>#REF!</v>
      </c>
      <c r="AF45" t="e">
        <f>AND(#REF!,"AAAAAH/c3h8=")</f>
        <v>#REF!</v>
      </c>
      <c r="AG45" t="e">
        <f>AND(#REF!,"AAAAAH/c3iA=")</f>
        <v>#REF!</v>
      </c>
      <c r="AH45" t="e">
        <f>AND(#REF!,"AAAAAH/c3iE=")</f>
        <v>#REF!</v>
      </c>
      <c r="AI45" t="e">
        <f>AND(#REF!,"AAAAAH/c3iI=")</f>
        <v>#REF!</v>
      </c>
      <c r="AJ45" t="e">
        <f>AND(#REF!,"AAAAAH/c3iM=")</f>
        <v>#REF!</v>
      </c>
      <c r="AK45" t="e">
        <f>AND(#REF!,"AAAAAH/c3iQ=")</f>
        <v>#REF!</v>
      </c>
      <c r="AL45" t="e">
        <f>AND(#REF!,"AAAAAH/c3iU=")</f>
        <v>#REF!</v>
      </c>
      <c r="AM45" t="e">
        <f>AND(#REF!,"AAAAAH/c3iY=")</f>
        <v>#REF!</v>
      </c>
      <c r="AN45" t="e">
        <f>AND(#REF!,"AAAAAH/c3ic=")</f>
        <v>#REF!</v>
      </c>
      <c r="AO45" t="e">
        <f>AND(#REF!,"AAAAAH/c3ig=")</f>
        <v>#REF!</v>
      </c>
      <c r="AP45" t="e">
        <f>AND(#REF!,"AAAAAH/c3ik=")</f>
        <v>#REF!</v>
      </c>
      <c r="AQ45" t="e">
        <f>AND(#REF!,"AAAAAH/c3io=")</f>
        <v>#REF!</v>
      </c>
      <c r="AR45" t="e">
        <f>IF(#REF!,"AAAAAH/c3is=",0)</f>
        <v>#REF!</v>
      </c>
      <c r="AS45" t="e">
        <f>AND(#REF!,"AAAAAH/c3iw=")</f>
        <v>#REF!</v>
      </c>
      <c r="AT45" t="e">
        <f>AND(#REF!,"AAAAAH/c3i0=")</f>
        <v>#REF!</v>
      </c>
      <c r="AU45" t="e">
        <f>AND(#REF!,"AAAAAH/c3i4=")</f>
        <v>#REF!</v>
      </c>
      <c r="AV45" t="e">
        <f>AND(#REF!,"AAAAAH/c3i8=")</f>
        <v>#REF!</v>
      </c>
      <c r="AW45" t="e">
        <f>AND(#REF!,"AAAAAH/c3jA=")</f>
        <v>#REF!</v>
      </c>
      <c r="AX45" t="e">
        <f>AND(#REF!,"AAAAAH/c3jE=")</f>
        <v>#REF!</v>
      </c>
      <c r="AY45" t="e">
        <f>AND(#REF!,"AAAAAH/c3jI=")</f>
        <v>#REF!</v>
      </c>
      <c r="AZ45" t="e">
        <f>AND(#REF!,"AAAAAH/c3jM=")</f>
        <v>#REF!</v>
      </c>
      <c r="BA45" t="e">
        <f>AND(#REF!,"AAAAAH/c3jQ=")</f>
        <v>#REF!</v>
      </c>
      <c r="BB45" t="e">
        <f>AND(#REF!,"AAAAAH/c3jU=")</f>
        <v>#REF!</v>
      </c>
      <c r="BC45" t="e">
        <f>AND(#REF!,"AAAAAH/c3jY=")</f>
        <v>#REF!</v>
      </c>
      <c r="BD45" t="e">
        <f>AND(#REF!,"AAAAAH/c3jc=")</f>
        <v>#REF!</v>
      </c>
      <c r="BE45" t="e">
        <f>AND(#REF!,"AAAAAH/c3jg=")</f>
        <v>#REF!</v>
      </c>
      <c r="BF45" t="e">
        <f>AND(#REF!,"AAAAAH/c3jk=")</f>
        <v>#REF!</v>
      </c>
      <c r="BG45" t="e">
        <f>AND(#REF!,"AAAAAH/c3jo=")</f>
        <v>#REF!</v>
      </c>
      <c r="BH45" t="e">
        <f>AND(#REF!,"AAAAAH/c3js=")</f>
        <v>#REF!</v>
      </c>
      <c r="BI45" t="e">
        <f>AND(#REF!,"AAAAAH/c3jw=")</f>
        <v>#REF!</v>
      </c>
      <c r="BJ45" t="e">
        <f>AND(#REF!,"AAAAAH/c3j0=")</f>
        <v>#REF!</v>
      </c>
      <c r="BK45" t="e">
        <f>AND(#REF!,"AAAAAH/c3j4=")</f>
        <v>#REF!</v>
      </c>
      <c r="BL45" t="e">
        <f>AND(#REF!,"AAAAAH/c3j8=")</f>
        <v>#REF!</v>
      </c>
      <c r="BM45" t="e">
        <f>AND(#REF!,"AAAAAH/c3kA=")</f>
        <v>#REF!</v>
      </c>
      <c r="BN45" t="e">
        <f>AND(#REF!,"AAAAAH/c3kE=")</f>
        <v>#REF!</v>
      </c>
      <c r="BO45" t="e">
        <f>AND(#REF!,"AAAAAH/c3kI=")</f>
        <v>#REF!</v>
      </c>
      <c r="BP45" t="e">
        <f>AND(#REF!,"AAAAAH/c3kM=")</f>
        <v>#REF!</v>
      </c>
      <c r="BQ45" t="e">
        <f>IF(#REF!,"AAAAAH/c3kQ=",0)</f>
        <v>#REF!</v>
      </c>
      <c r="BR45" t="e">
        <f>AND(#REF!,"AAAAAH/c3kU=")</f>
        <v>#REF!</v>
      </c>
      <c r="BS45" t="e">
        <f>AND(#REF!,"AAAAAH/c3kY=")</f>
        <v>#REF!</v>
      </c>
      <c r="BT45" t="e">
        <f>AND(#REF!,"AAAAAH/c3kc=")</f>
        <v>#REF!</v>
      </c>
      <c r="BU45" t="e">
        <f>AND(#REF!,"AAAAAH/c3kg=")</f>
        <v>#REF!</v>
      </c>
      <c r="BV45" t="e">
        <f>AND(#REF!,"AAAAAH/c3kk=")</f>
        <v>#REF!</v>
      </c>
      <c r="BW45" t="e">
        <f>AND(#REF!,"AAAAAH/c3ko=")</f>
        <v>#REF!</v>
      </c>
      <c r="BX45" t="e">
        <f>AND(#REF!,"AAAAAH/c3ks=")</f>
        <v>#REF!</v>
      </c>
      <c r="BY45" t="e">
        <f>AND(#REF!,"AAAAAH/c3kw=")</f>
        <v>#REF!</v>
      </c>
      <c r="BZ45" t="e">
        <f>AND(#REF!,"AAAAAH/c3k0=")</f>
        <v>#REF!</v>
      </c>
      <c r="CA45" t="e">
        <f>AND(#REF!,"AAAAAH/c3k4=")</f>
        <v>#REF!</v>
      </c>
      <c r="CB45" t="e">
        <f>AND(#REF!,"AAAAAH/c3k8=")</f>
        <v>#REF!</v>
      </c>
      <c r="CC45" t="e">
        <f>AND(#REF!,"AAAAAH/c3lA=")</f>
        <v>#REF!</v>
      </c>
      <c r="CD45" t="e">
        <f>AND(#REF!,"AAAAAH/c3lE=")</f>
        <v>#REF!</v>
      </c>
      <c r="CE45" t="e">
        <f>AND(#REF!,"AAAAAH/c3lI=")</f>
        <v>#REF!</v>
      </c>
      <c r="CF45" t="e">
        <f>AND(#REF!,"AAAAAH/c3lM=")</f>
        <v>#REF!</v>
      </c>
      <c r="CG45" t="e">
        <f>AND(#REF!,"AAAAAH/c3lQ=")</f>
        <v>#REF!</v>
      </c>
      <c r="CH45" t="e">
        <f>AND(#REF!,"AAAAAH/c3lU=")</f>
        <v>#REF!</v>
      </c>
      <c r="CI45" t="e">
        <f>AND(#REF!,"AAAAAH/c3lY=")</f>
        <v>#REF!</v>
      </c>
      <c r="CJ45" t="e">
        <f>AND(#REF!,"AAAAAH/c3lc=")</f>
        <v>#REF!</v>
      </c>
      <c r="CK45" t="e">
        <f>AND(#REF!,"AAAAAH/c3lg=")</f>
        <v>#REF!</v>
      </c>
      <c r="CL45" t="e">
        <f>AND(#REF!,"AAAAAH/c3lk=")</f>
        <v>#REF!</v>
      </c>
      <c r="CM45" t="e">
        <f>AND(#REF!,"AAAAAH/c3lo=")</f>
        <v>#REF!</v>
      </c>
      <c r="CN45" t="e">
        <f>AND(#REF!,"AAAAAH/c3ls=")</f>
        <v>#REF!</v>
      </c>
      <c r="CO45" t="e">
        <f>AND(#REF!,"AAAAAH/c3lw=")</f>
        <v>#REF!</v>
      </c>
      <c r="CP45" t="e">
        <f>IF(#REF!,"AAAAAH/c3l0=",0)</f>
        <v>#REF!</v>
      </c>
      <c r="CQ45" t="e">
        <f>AND(#REF!,"AAAAAH/c3l4=")</f>
        <v>#REF!</v>
      </c>
      <c r="CR45" t="e">
        <f>AND(#REF!,"AAAAAH/c3l8=")</f>
        <v>#REF!</v>
      </c>
      <c r="CS45" t="e">
        <f>AND(#REF!,"AAAAAH/c3mA=")</f>
        <v>#REF!</v>
      </c>
      <c r="CT45" t="e">
        <f>AND(#REF!,"AAAAAH/c3mE=")</f>
        <v>#REF!</v>
      </c>
      <c r="CU45" t="e">
        <f>AND(#REF!,"AAAAAH/c3mI=")</f>
        <v>#REF!</v>
      </c>
      <c r="CV45" t="e">
        <f>AND(#REF!,"AAAAAH/c3mM=")</f>
        <v>#REF!</v>
      </c>
      <c r="CW45" t="e">
        <f>AND(#REF!,"AAAAAH/c3mQ=")</f>
        <v>#REF!</v>
      </c>
      <c r="CX45" t="e">
        <f>AND(#REF!,"AAAAAH/c3mU=")</f>
        <v>#REF!</v>
      </c>
      <c r="CY45" t="e">
        <f>AND(#REF!,"AAAAAH/c3mY=")</f>
        <v>#REF!</v>
      </c>
      <c r="CZ45" t="e">
        <f>AND(#REF!,"AAAAAH/c3mc=")</f>
        <v>#REF!</v>
      </c>
      <c r="DA45" t="e">
        <f>AND(#REF!,"AAAAAH/c3mg=")</f>
        <v>#REF!</v>
      </c>
      <c r="DB45" t="e">
        <f>AND(#REF!,"AAAAAH/c3mk=")</f>
        <v>#REF!</v>
      </c>
      <c r="DC45" t="e">
        <f>AND(#REF!,"AAAAAH/c3mo=")</f>
        <v>#REF!</v>
      </c>
      <c r="DD45" t="e">
        <f>AND(#REF!,"AAAAAH/c3ms=")</f>
        <v>#REF!</v>
      </c>
      <c r="DE45" t="e">
        <f>AND(#REF!,"AAAAAH/c3mw=")</f>
        <v>#REF!</v>
      </c>
      <c r="DF45" t="e">
        <f>AND(#REF!,"AAAAAH/c3m0=")</f>
        <v>#REF!</v>
      </c>
      <c r="DG45" t="e">
        <f>AND(#REF!,"AAAAAH/c3m4=")</f>
        <v>#REF!</v>
      </c>
      <c r="DH45" t="e">
        <f>AND(#REF!,"AAAAAH/c3m8=")</f>
        <v>#REF!</v>
      </c>
      <c r="DI45" t="e">
        <f>AND(#REF!,"AAAAAH/c3nA=")</f>
        <v>#REF!</v>
      </c>
      <c r="DJ45" t="e">
        <f>AND(#REF!,"AAAAAH/c3nE=")</f>
        <v>#REF!</v>
      </c>
      <c r="DK45" t="e">
        <f>AND(#REF!,"AAAAAH/c3nI=")</f>
        <v>#REF!</v>
      </c>
      <c r="DL45" t="e">
        <f>AND(#REF!,"AAAAAH/c3nM=")</f>
        <v>#REF!</v>
      </c>
      <c r="DM45" t="e">
        <f>AND(#REF!,"AAAAAH/c3nQ=")</f>
        <v>#REF!</v>
      </c>
      <c r="DN45" t="e">
        <f>AND(#REF!,"AAAAAH/c3nU=")</f>
        <v>#REF!</v>
      </c>
      <c r="DO45" t="e">
        <f>IF(#REF!,"AAAAAH/c3nY=",0)</f>
        <v>#REF!</v>
      </c>
      <c r="DP45" t="e">
        <f>AND(#REF!,"AAAAAH/c3nc=")</f>
        <v>#REF!</v>
      </c>
      <c r="DQ45" t="e">
        <f>AND(#REF!,"AAAAAH/c3ng=")</f>
        <v>#REF!</v>
      </c>
      <c r="DR45" t="e">
        <f>AND(#REF!,"AAAAAH/c3nk=")</f>
        <v>#REF!</v>
      </c>
      <c r="DS45" t="e">
        <f>AND(#REF!,"AAAAAH/c3no=")</f>
        <v>#REF!</v>
      </c>
      <c r="DT45" t="e">
        <f>AND(#REF!,"AAAAAH/c3ns=")</f>
        <v>#REF!</v>
      </c>
      <c r="DU45" t="e">
        <f>AND(#REF!,"AAAAAH/c3nw=")</f>
        <v>#REF!</v>
      </c>
      <c r="DV45" t="e">
        <f>AND(#REF!,"AAAAAH/c3n0=")</f>
        <v>#REF!</v>
      </c>
      <c r="DW45" t="e">
        <f>AND(#REF!,"AAAAAH/c3n4=")</f>
        <v>#REF!</v>
      </c>
      <c r="DX45" t="e">
        <f>AND(#REF!,"AAAAAH/c3n8=")</f>
        <v>#REF!</v>
      </c>
      <c r="DY45" t="e">
        <f>AND(#REF!,"AAAAAH/c3oA=")</f>
        <v>#REF!</v>
      </c>
      <c r="DZ45" t="e">
        <f>AND(#REF!,"AAAAAH/c3oE=")</f>
        <v>#REF!</v>
      </c>
      <c r="EA45" t="e">
        <f>AND(#REF!,"AAAAAH/c3oI=")</f>
        <v>#REF!</v>
      </c>
      <c r="EB45" t="e">
        <f>AND(#REF!,"AAAAAH/c3oM=")</f>
        <v>#REF!</v>
      </c>
      <c r="EC45" t="e">
        <f>AND(#REF!,"AAAAAH/c3oQ=")</f>
        <v>#REF!</v>
      </c>
      <c r="ED45" t="e">
        <f>AND(#REF!,"AAAAAH/c3oU=")</f>
        <v>#REF!</v>
      </c>
      <c r="EE45" t="e">
        <f>AND(#REF!,"AAAAAH/c3oY=")</f>
        <v>#REF!</v>
      </c>
      <c r="EF45" t="e">
        <f>AND(#REF!,"AAAAAH/c3oc=")</f>
        <v>#REF!</v>
      </c>
      <c r="EG45" t="e">
        <f>AND(#REF!,"AAAAAH/c3og=")</f>
        <v>#REF!</v>
      </c>
      <c r="EH45" t="e">
        <f>AND(#REF!,"AAAAAH/c3ok=")</f>
        <v>#REF!</v>
      </c>
      <c r="EI45" t="e">
        <f>AND(#REF!,"AAAAAH/c3oo=")</f>
        <v>#REF!</v>
      </c>
      <c r="EJ45" t="e">
        <f>AND(#REF!,"AAAAAH/c3os=")</f>
        <v>#REF!</v>
      </c>
      <c r="EK45" t="e">
        <f>AND(#REF!,"AAAAAH/c3ow=")</f>
        <v>#REF!</v>
      </c>
      <c r="EL45" t="e">
        <f>AND(#REF!,"AAAAAH/c3o0=")</f>
        <v>#REF!</v>
      </c>
      <c r="EM45" t="e">
        <f>AND(#REF!,"AAAAAH/c3o4=")</f>
        <v>#REF!</v>
      </c>
      <c r="EN45" t="e">
        <f>IF(#REF!,"AAAAAH/c3o8=",0)</f>
        <v>#REF!</v>
      </c>
      <c r="EO45" t="e">
        <f>AND(#REF!,"AAAAAH/c3pA=")</f>
        <v>#REF!</v>
      </c>
      <c r="EP45" t="e">
        <f>AND(#REF!,"AAAAAH/c3pE=")</f>
        <v>#REF!</v>
      </c>
      <c r="EQ45" t="e">
        <f>AND(#REF!,"AAAAAH/c3pI=")</f>
        <v>#REF!</v>
      </c>
      <c r="ER45" t="e">
        <f>AND(#REF!,"AAAAAH/c3pM=")</f>
        <v>#REF!</v>
      </c>
      <c r="ES45" t="e">
        <f>AND(#REF!,"AAAAAH/c3pQ=")</f>
        <v>#REF!</v>
      </c>
      <c r="ET45" t="e">
        <f>AND(#REF!,"AAAAAH/c3pU=")</f>
        <v>#REF!</v>
      </c>
      <c r="EU45" t="e">
        <f>AND(#REF!,"AAAAAH/c3pY=")</f>
        <v>#REF!</v>
      </c>
      <c r="EV45" t="e">
        <f>AND(#REF!,"AAAAAH/c3pc=")</f>
        <v>#REF!</v>
      </c>
      <c r="EW45" t="e">
        <f>AND(#REF!,"AAAAAH/c3pg=")</f>
        <v>#REF!</v>
      </c>
      <c r="EX45" t="e">
        <f>AND(#REF!,"AAAAAH/c3pk=")</f>
        <v>#REF!</v>
      </c>
      <c r="EY45" t="e">
        <f>AND(#REF!,"AAAAAH/c3po=")</f>
        <v>#REF!</v>
      </c>
      <c r="EZ45" t="e">
        <f>AND(#REF!,"AAAAAH/c3ps=")</f>
        <v>#REF!</v>
      </c>
      <c r="FA45" t="e">
        <f>AND(#REF!,"AAAAAH/c3pw=")</f>
        <v>#REF!</v>
      </c>
      <c r="FB45" t="e">
        <f>AND(#REF!,"AAAAAH/c3p0=")</f>
        <v>#REF!</v>
      </c>
      <c r="FC45" t="e">
        <f>AND(#REF!,"AAAAAH/c3p4=")</f>
        <v>#REF!</v>
      </c>
      <c r="FD45" t="e">
        <f>AND(#REF!,"AAAAAH/c3p8=")</f>
        <v>#REF!</v>
      </c>
      <c r="FE45" t="e">
        <f>AND(#REF!,"AAAAAH/c3qA=")</f>
        <v>#REF!</v>
      </c>
      <c r="FF45" t="e">
        <f>AND(#REF!,"AAAAAH/c3qE=")</f>
        <v>#REF!</v>
      </c>
      <c r="FG45" t="e">
        <f>AND(#REF!,"AAAAAH/c3qI=")</f>
        <v>#REF!</v>
      </c>
      <c r="FH45" t="e">
        <f>AND(#REF!,"AAAAAH/c3qM=")</f>
        <v>#REF!</v>
      </c>
      <c r="FI45" t="e">
        <f>AND(#REF!,"AAAAAH/c3qQ=")</f>
        <v>#REF!</v>
      </c>
      <c r="FJ45" t="e">
        <f>AND(#REF!,"AAAAAH/c3qU=")</f>
        <v>#REF!</v>
      </c>
      <c r="FK45" t="e">
        <f>AND(#REF!,"AAAAAH/c3qY=")</f>
        <v>#REF!</v>
      </c>
      <c r="FL45" t="e">
        <f>AND(#REF!,"AAAAAH/c3qc=")</f>
        <v>#REF!</v>
      </c>
      <c r="FM45" t="e">
        <f>IF(#REF!,"AAAAAH/c3qg=",0)</f>
        <v>#REF!</v>
      </c>
      <c r="FN45" t="e">
        <f>AND(#REF!,"AAAAAH/c3qk=")</f>
        <v>#REF!</v>
      </c>
      <c r="FO45" t="e">
        <f>AND(#REF!,"AAAAAH/c3qo=")</f>
        <v>#REF!</v>
      </c>
      <c r="FP45" t="e">
        <f>AND(#REF!,"AAAAAH/c3qs=")</f>
        <v>#REF!</v>
      </c>
      <c r="FQ45" t="e">
        <f>AND(#REF!,"AAAAAH/c3qw=")</f>
        <v>#REF!</v>
      </c>
      <c r="FR45" t="e">
        <f>AND(#REF!,"AAAAAH/c3q0=")</f>
        <v>#REF!</v>
      </c>
      <c r="FS45" t="e">
        <f>AND(#REF!,"AAAAAH/c3q4=")</f>
        <v>#REF!</v>
      </c>
      <c r="FT45" t="e">
        <f>AND(#REF!,"AAAAAH/c3q8=")</f>
        <v>#REF!</v>
      </c>
      <c r="FU45" t="e">
        <f>AND(#REF!,"AAAAAH/c3rA=")</f>
        <v>#REF!</v>
      </c>
      <c r="FV45" t="e">
        <f>AND(#REF!,"AAAAAH/c3rE=")</f>
        <v>#REF!</v>
      </c>
      <c r="FW45" t="e">
        <f>AND(#REF!,"AAAAAH/c3rI=")</f>
        <v>#REF!</v>
      </c>
      <c r="FX45" t="e">
        <f>AND(#REF!,"AAAAAH/c3rM=")</f>
        <v>#REF!</v>
      </c>
      <c r="FY45" t="e">
        <f>AND(#REF!,"AAAAAH/c3rQ=")</f>
        <v>#REF!</v>
      </c>
      <c r="FZ45" t="e">
        <f>AND(#REF!,"AAAAAH/c3rU=")</f>
        <v>#REF!</v>
      </c>
      <c r="GA45" t="e">
        <f>AND(#REF!,"AAAAAH/c3rY=")</f>
        <v>#REF!</v>
      </c>
      <c r="GB45" t="e">
        <f>AND(#REF!,"AAAAAH/c3rc=")</f>
        <v>#REF!</v>
      </c>
      <c r="GC45" t="e">
        <f>AND(#REF!,"AAAAAH/c3rg=")</f>
        <v>#REF!</v>
      </c>
      <c r="GD45" t="e">
        <f>AND(#REF!,"AAAAAH/c3rk=")</f>
        <v>#REF!</v>
      </c>
      <c r="GE45" t="e">
        <f>AND(#REF!,"AAAAAH/c3ro=")</f>
        <v>#REF!</v>
      </c>
      <c r="GF45" t="e">
        <f>AND(#REF!,"AAAAAH/c3rs=")</f>
        <v>#REF!</v>
      </c>
      <c r="GG45" t="e">
        <f>AND(#REF!,"AAAAAH/c3rw=")</f>
        <v>#REF!</v>
      </c>
      <c r="GH45" t="e">
        <f>AND(#REF!,"AAAAAH/c3r0=")</f>
        <v>#REF!</v>
      </c>
      <c r="GI45" t="e">
        <f>AND(#REF!,"AAAAAH/c3r4=")</f>
        <v>#REF!</v>
      </c>
      <c r="GJ45" t="e">
        <f>AND(#REF!,"AAAAAH/c3r8=")</f>
        <v>#REF!</v>
      </c>
      <c r="GK45" t="e">
        <f>AND(#REF!,"AAAAAH/c3sA=")</f>
        <v>#REF!</v>
      </c>
      <c r="GL45" t="e">
        <f>IF(#REF!,"AAAAAH/c3sE=",0)</f>
        <v>#REF!</v>
      </c>
      <c r="GM45" t="e">
        <f>AND(#REF!,"AAAAAH/c3sI=")</f>
        <v>#REF!</v>
      </c>
      <c r="GN45" t="e">
        <f>AND(#REF!,"AAAAAH/c3sM=")</f>
        <v>#REF!</v>
      </c>
      <c r="GO45" t="e">
        <f>AND(#REF!,"AAAAAH/c3sQ=")</f>
        <v>#REF!</v>
      </c>
      <c r="GP45" t="e">
        <f>AND(#REF!,"AAAAAH/c3sU=")</f>
        <v>#REF!</v>
      </c>
      <c r="GQ45" t="e">
        <f>AND(#REF!,"AAAAAH/c3sY=")</f>
        <v>#REF!</v>
      </c>
      <c r="GR45" t="e">
        <f>AND(#REF!,"AAAAAH/c3sc=")</f>
        <v>#REF!</v>
      </c>
      <c r="GS45" t="e">
        <f>AND(#REF!,"AAAAAH/c3sg=")</f>
        <v>#REF!</v>
      </c>
      <c r="GT45" t="e">
        <f>AND(#REF!,"AAAAAH/c3sk=")</f>
        <v>#REF!</v>
      </c>
      <c r="GU45" t="e">
        <f>AND(#REF!,"AAAAAH/c3so=")</f>
        <v>#REF!</v>
      </c>
      <c r="GV45" t="e">
        <f>AND(#REF!,"AAAAAH/c3ss=")</f>
        <v>#REF!</v>
      </c>
      <c r="GW45" t="e">
        <f>AND(#REF!,"AAAAAH/c3sw=")</f>
        <v>#REF!</v>
      </c>
      <c r="GX45" t="e">
        <f>AND(#REF!,"AAAAAH/c3s0=")</f>
        <v>#REF!</v>
      </c>
      <c r="GY45" t="e">
        <f>AND(#REF!,"AAAAAH/c3s4=")</f>
        <v>#REF!</v>
      </c>
      <c r="GZ45" t="e">
        <f>AND(#REF!,"AAAAAH/c3s8=")</f>
        <v>#REF!</v>
      </c>
      <c r="HA45" t="e">
        <f>AND(#REF!,"AAAAAH/c3tA=")</f>
        <v>#REF!</v>
      </c>
      <c r="HB45" t="e">
        <f>AND(#REF!,"AAAAAH/c3tE=")</f>
        <v>#REF!</v>
      </c>
      <c r="HC45" t="e">
        <f>AND(#REF!,"AAAAAH/c3tI=")</f>
        <v>#REF!</v>
      </c>
      <c r="HD45" t="e">
        <f>AND(#REF!,"AAAAAH/c3tM=")</f>
        <v>#REF!</v>
      </c>
      <c r="HE45" t="e">
        <f>AND(#REF!,"AAAAAH/c3tQ=")</f>
        <v>#REF!</v>
      </c>
      <c r="HF45" t="e">
        <f>AND(#REF!,"AAAAAH/c3tU=")</f>
        <v>#REF!</v>
      </c>
      <c r="HG45" t="e">
        <f>AND(#REF!,"AAAAAH/c3tY=")</f>
        <v>#REF!</v>
      </c>
      <c r="HH45" t="e">
        <f>AND(#REF!,"AAAAAH/c3tc=")</f>
        <v>#REF!</v>
      </c>
      <c r="HI45" t="e">
        <f>AND(#REF!,"AAAAAH/c3tg=")</f>
        <v>#REF!</v>
      </c>
      <c r="HJ45" t="e">
        <f>AND(#REF!,"AAAAAH/c3tk=")</f>
        <v>#REF!</v>
      </c>
      <c r="HK45" t="e">
        <f>IF(#REF!,"AAAAAH/c3to=",0)</f>
        <v>#REF!</v>
      </c>
      <c r="HL45" t="e">
        <f>AND(#REF!,"AAAAAH/c3ts=")</f>
        <v>#REF!</v>
      </c>
      <c r="HM45" t="e">
        <f>AND(#REF!,"AAAAAH/c3tw=")</f>
        <v>#REF!</v>
      </c>
      <c r="HN45" t="e">
        <f>AND(#REF!,"AAAAAH/c3t0=")</f>
        <v>#REF!</v>
      </c>
      <c r="HO45" t="e">
        <f>AND(#REF!,"AAAAAH/c3t4=")</f>
        <v>#REF!</v>
      </c>
      <c r="HP45" t="e">
        <f>AND(#REF!,"AAAAAH/c3t8=")</f>
        <v>#REF!</v>
      </c>
      <c r="HQ45" t="e">
        <f>AND(#REF!,"AAAAAH/c3uA=")</f>
        <v>#REF!</v>
      </c>
      <c r="HR45" t="e">
        <f>AND(#REF!,"AAAAAH/c3uE=")</f>
        <v>#REF!</v>
      </c>
      <c r="HS45" t="e">
        <f>AND(#REF!,"AAAAAH/c3uI=")</f>
        <v>#REF!</v>
      </c>
      <c r="HT45" t="e">
        <f>AND(#REF!,"AAAAAH/c3uM=")</f>
        <v>#REF!</v>
      </c>
      <c r="HU45" t="e">
        <f>AND(#REF!,"AAAAAH/c3uQ=")</f>
        <v>#REF!</v>
      </c>
      <c r="HV45" t="e">
        <f>AND(#REF!,"AAAAAH/c3uU=")</f>
        <v>#REF!</v>
      </c>
      <c r="HW45" t="e">
        <f>AND(#REF!,"AAAAAH/c3uY=")</f>
        <v>#REF!</v>
      </c>
      <c r="HX45" t="e">
        <f>AND(#REF!,"AAAAAH/c3uc=")</f>
        <v>#REF!</v>
      </c>
      <c r="HY45" t="e">
        <f>AND(#REF!,"AAAAAH/c3ug=")</f>
        <v>#REF!</v>
      </c>
      <c r="HZ45" t="e">
        <f>AND(#REF!,"AAAAAH/c3uk=")</f>
        <v>#REF!</v>
      </c>
      <c r="IA45" t="e">
        <f>AND(#REF!,"AAAAAH/c3uo=")</f>
        <v>#REF!</v>
      </c>
      <c r="IB45" t="e">
        <f>AND(#REF!,"AAAAAH/c3us=")</f>
        <v>#REF!</v>
      </c>
      <c r="IC45" t="e">
        <f>AND(#REF!,"AAAAAH/c3uw=")</f>
        <v>#REF!</v>
      </c>
      <c r="ID45" t="e">
        <f>AND(#REF!,"AAAAAH/c3u0=")</f>
        <v>#REF!</v>
      </c>
      <c r="IE45" t="e">
        <f>AND(#REF!,"AAAAAH/c3u4=")</f>
        <v>#REF!</v>
      </c>
      <c r="IF45" t="e">
        <f>AND(#REF!,"AAAAAH/c3u8=")</f>
        <v>#REF!</v>
      </c>
      <c r="IG45" t="e">
        <f>AND(#REF!,"AAAAAH/c3vA=")</f>
        <v>#REF!</v>
      </c>
      <c r="IH45" t="e">
        <f>AND(#REF!,"AAAAAH/c3vE=")</f>
        <v>#REF!</v>
      </c>
      <c r="II45" t="e">
        <f>AND(#REF!,"AAAAAH/c3vI=")</f>
        <v>#REF!</v>
      </c>
      <c r="IJ45" t="e">
        <f>IF(#REF!,"AAAAAH/c3vM=",0)</f>
        <v>#REF!</v>
      </c>
      <c r="IK45" t="e">
        <f>AND(#REF!,"AAAAAH/c3vQ=")</f>
        <v>#REF!</v>
      </c>
      <c r="IL45" t="e">
        <f>AND(#REF!,"AAAAAH/c3vU=")</f>
        <v>#REF!</v>
      </c>
      <c r="IM45" t="e">
        <f>AND(#REF!,"AAAAAH/c3vY=")</f>
        <v>#REF!</v>
      </c>
      <c r="IN45" t="e">
        <f>AND(#REF!,"AAAAAH/c3vc=")</f>
        <v>#REF!</v>
      </c>
      <c r="IO45" t="e">
        <f>AND(#REF!,"AAAAAH/c3vg=")</f>
        <v>#REF!</v>
      </c>
      <c r="IP45" t="e">
        <f>AND(#REF!,"AAAAAH/c3vk=")</f>
        <v>#REF!</v>
      </c>
      <c r="IQ45" t="e">
        <f>AND(#REF!,"AAAAAH/c3vo=")</f>
        <v>#REF!</v>
      </c>
      <c r="IR45" t="e">
        <f>AND(#REF!,"AAAAAH/c3vs=")</f>
        <v>#REF!</v>
      </c>
      <c r="IS45" t="e">
        <f>AND(#REF!,"AAAAAH/c3vw=")</f>
        <v>#REF!</v>
      </c>
      <c r="IT45" t="e">
        <f>AND(#REF!,"AAAAAH/c3v0=")</f>
        <v>#REF!</v>
      </c>
      <c r="IU45" t="e">
        <f>AND(#REF!,"AAAAAH/c3v4=")</f>
        <v>#REF!</v>
      </c>
      <c r="IV45" t="e">
        <f>AND(#REF!,"AAAAAH/c3v8=")</f>
        <v>#REF!</v>
      </c>
    </row>
    <row r="46" spans="1:256" x14ac:dyDescent="0.25">
      <c r="A46" t="e">
        <f>AND(#REF!,"AAAAAE//4gA=")</f>
        <v>#REF!</v>
      </c>
      <c r="B46" t="e">
        <f>AND(#REF!,"AAAAAE//4gE=")</f>
        <v>#REF!</v>
      </c>
      <c r="C46" t="e">
        <f>AND(#REF!,"AAAAAE//4gI=")</f>
        <v>#REF!</v>
      </c>
      <c r="D46" t="e">
        <f>AND(#REF!,"AAAAAE//4gM=")</f>
        <v>#REF!</v>
      </c>
      <c r="E46" t="e">
        <f>AND(#REF!,"AAAAAE//4gQ=")</f>
        <v>#REF!</v>
      </c>
      <c r="F46" t="e">
        <f>AND(#REF!,"AAAAAE//4gU=")</f>
        <v>#REF!</v>
      </c>
      <c r="G46" t="e">
        <f>AND(#REF!,"AAAAAE//4gY=")</f>
        <v>#REF!</v>
      </c>
      <c r="H46" t="e">
        <f>AND(#REF!,"AAAAAE//4gc=")</f>
        <v>#REF!</v>
      </c>
      <c r="I46" t="e">
        <f>AND(#REF!,"AAAAAE//4gg=")</f>
        <v>#REF!</v>
      </c>
      <c r="J46" t="e">
        <f>AND(#REF!,"AAAAAE//4gk=")</f>
        <v>#REF!</v>
      </c>
      <c r="K46" t="e">
        <f>AND(#REF!,"AAAAAE//4go=")</f>
        <v>#REF!</v>
      </c>
      <c r="L46" t="e">
        <f>AND(#REF!,"AAAAAE//4gs=")</f>
        <v>#REF!</v>
      </c>
      <c r="M46" t="e">
        <f>IF(#REF!,"AAAAAE//4gw=",0)</f>
        <v>#REF!</v>
      </c>
      <c r="N46" t="e">
        <f>AND(#REF!,"AAAAAE//4g0=")</f>
        <v>#REF!</v>
      </c>
      <c r="O46" t="e">
        <f>AND(#REF!,"AAAAAE//4g4=")</f>
        <v>#REF!</v>
      </c>
      <c r="P46" t="e">
        <f>AND(#REF!,"AAAAAE//4g8=")</f>
        <v>#REF!</v>
      </c>
      <c r="Q46" t="e">
        <f>AND(#REF!,"AAAAAE//4hA=")</f>
        <v>#REF!</v>
      </c>
      <c r="R46" t="e">
        <f>AND(#REF!,"AAAAAE//4hE=")</f>
        <v>#REF!</v>
      </c>
      <c r="S46" t="e">
        <f>AND(#REF!,"AAAAAE//4hI=")</f>
        <v>#REF!</v>
      </c>
      <c r="T46" t="e">
        <f>AND(#REF!,"AAAAAE//4hM=")</f>
        <v>#REF!</v>
      </c>
      <c r="U46" t="e">
        <f>AND(#REF!,"AAAAAE//4hQ=")</f>
        <v>#REF!</v>
      </c>
      <c r="V46" t="e">
        <f>AND(#REF!,"AAAAAE//4hU=")</f>
        <v>#REF!</v>
      </c>
      <c r="W46" t="e">
        <f>AND(#REF!,"AAAAAE//4hY=")</f>
        <v>#REF!</v>
      </c>
      <c r="X46" t="e">
        <f>AND(#REF!,"AAAAAE//4hc=")</f>
        <v>#REF!</v>
      </c>
      <c r="Y46" t="e">
        <f>AND(#REF!,"AAAAAE//4hg=")</f>
        <v>#REF!</v>
      </c>
      <c r="Z46" t="e">
        <f>AND(#REF!,"AAAAAE//4hk=")</f>
        <v>#REF!</v>
      </c>
      <c r="AA46" t="e">
        <f>AND(#REF!,"AAAAAE//4ho=")</f>
        <v>#REF!</v>
      </c>
      <c r="AB46" t="e">
        <f>AND(#REF!,"AAAAAE//4hs=")</f>
        <v>#REF!</v>
      </c>
      <c r="AC46" t="e">
        <f>AND(#REF!,"AAAAAE//4hw=")</f>
        <v>#REF!</v>
      </c>
      <c r="AD46" t="e">
        <f>AND(#REF!,"AAAAAE//4h0=")</f>
        <v>#REF!</v>
      </c>
      <c r="AE46" t="e">
        <f>AND(#REF!,"AAAAAE//4h4=")</f>
        <v>#REF!</v>
      </c>
      <c r="AF46" t="e">
        <f>AND(#REF!,"AAAAAE//4h8=")</f>
        <v>#REF!</v>
      </c>
      <c r="AG46" t="e">
        <f>AND(#REF!,"AAAAAE//4iA=")</f>
        <v>#REF!</v>
      </c>
      <c r="AH46" t="e">
        <f>AND(#REF!,"AAAAAE//4iE=")</f>
        <v>#REF!</v>
      </c>
      <c r="AI46" t="e">
        <f>AND(#REF!,"AAAAAE//4iI=")</f>
        <v>#REF!</v>
      </c>
      <c r="AJ46" t="e">
        <f>AND(#REF!,"AAAAAE//4iM=")</f>
        <v>#REF!</v>
      </c>
      <c r="AK46" t="e">
        <f>AND(#REF!,"AAAAAE//4iQ=")</f>
        <v>#REF!</v>
      </c>
      <c r="AL46" t="e">
        <f>IF(#REF!,"AAAAAE//4iU=",0)</f>
        <v>#REF!</v>
      </c>
      <c r="AM46" t="e">
        <f>AND(#REF!,"AAAAAE//4iY=")</f>
        <v>#REF!</v>
      </c>
      <c r="AN46" t="e">
        <f>AND(#REF!,"AAAAAE//4ic=")</f>
        <v>#REF!</v>
      </c>
      <c r="AO46" t="e">
        <f>AND(#REF!,"AAAAAE//4ig=")</f>
        <v>#REF!</v>
      </c>
      <c r="AP46" t="e">
        <f>AND(#REF!,"AAAAAE//4ik=")</f>
        <v>#REF!</v>
      </c>
      <c r="AQ46" t="e">
        <f>AND(#REF!,"AAAAAE//4io=")</f>
        <v>#REF!</v>
      </c>
      <c r="AR46" t="e">
        <f>AND(#REF!,"AAAAAE//4is=")</f>
        <v>#REF!</v>
      </c>
      <c r="AS46" t="e">
        <f>AND(#REF!,"AAAAAE//4iw=")</f>
        <v>#REF!</v>
      </c>
      <c r="AT46" t="e">
        <f>AND(#REF!,"AAAAAE//4i0=")</f>
        <v>#REF!</v>
      </c>
      <c r="AU46" t="e">
        <f>AND(#REF!,"AAAAAE//4i4=")</f>
        <v>#REF!</v>
      </c>
      <c r="AV46" t="e">
        <f>AND(#REF!,"AAAAAE//4i8=")</f>
        <v>#REF!</v>
      </c>
      <c r="AW46" t="e">
        <f>AND(#REF!,"AAAAAE//4jA=")</f>
        <v>#REF!</v>
      </c>
      <c r="AX46" t="e">
        <f>AND(#REF!,"AAAAAE//4jE=")</f>
        <v>#REF!</v>
      </c>
      <c r="AY46" t="e">
        <f>AND(#REF!,"AAAAAE//4jI=")</f>
        <v>#REF!</v>
      </c>
      <c r="AZ46" t="e">
        <f>AND(#REF!,"AAAAAE//4jM=")</f>
        <v>#REF!</v>
      </c>
      <c r="BA46" t="e">
        <f>AND(#REF!,"AAAAAE//4jQ=")</f>
        <v>#REF!</v>
      </c>
      <c r="BB46" t="e">
        <f>AND(#REF!,"AAAAAE//4jU=")</f>
        <v>#REF!</v>
      </c>
      <c r="BC46" t="e">
        <f>AND(#REF!,"AAAAAE//4jY=")</f>
        <v>#REF!</v>
      </c>
      <c r="BD46" t="e">
        <f>AND(#REF!,"AAAAAE//4jc=")</f>
        <v>#REF!</v>
      </c>
      <c r="BE46" t="e">
        <f>AND(#REF!,"AAAAAE//4jg=")</f>
        <v>#REF!</v>
      </c>
      <c r="BF46" t="e">
        <f>AND(#REF!,"AAAAAE//4jk=")</f>
        <v>#REF!</v>
      </c>
      <c r="BG46" t="e">
        <f>AND(#REF!,"AAAAAE//4jo=")</f>
        <v>#REF!</v>
      </c>
      <c r="BH46" t="e">
        <f>AND(#REF!,"AAAAAE//4js=")</f>
        <v>#REF!</v>
      </c>
      <c r="BI46" t="e">
        <f>AND(#REF!,"AAAAAE//4jw=")</f>
        <v>#REF!</v>
      </c>
      <c r="BJ46" t="e">
        <f>AND(#REF!,"AAAAAE//4j0=")</f>
        <v>#REF!</v>
      </c>
      <c r="BK46" t="e">
        <f>IF(#REF!,"AAAAAE//4j4=",0)</f>
        <v>#REF!</v>
      </c>
      <c r="BL46" t="e">
        <f>AND(#REF!,"AAAAAE//4j8=")</f>
        <v>#REF!</v>
      </c>
      <c r="BM46" t="e">
        <f>AND(#REF!,"AAAAAE//4kA=")</f>
        <v>#REF!</v>
      </c>
      <c r="BN46" t="e">
        <f>AND(#REF!,"AAAAAE//4kE=")</f>
        <v>#REF!</v>
      </c>
      <c r="BO46" t="e">
        <f>AND(#REF!,"AAAAAE//4kI=")</f>
        <v>#REF!</v>
      </c>
      <c r="BP46" t="e">
        <f>AND(#REF!,"AAAAAE//4kM=")</f>
        <v>#REF!</v>
      </c>
      <c r="BQ46" t="e">
        <f>AND(#REF!,"AAAAAE//4kQ=")</f>
        <v>#REF!</v>
      </c>
      <c r="BR46" t="e">
        <f>AND(#REF!,"AAAAAE//4kU=")</f>
        <v>#REF!</v>
      </c>
      <c r="BS46" t="e">
        <f>AND(#REF!,"AAAAAE//4kY=")</f>
        <v>#REF!</v>
      </c>
      <c r="BT46" t="e">
        <f>AND(#REF!,"AAAAAE//4kc=")</f>
        <v>#REF!</v>
      </c>
      <c r="BU46" t="e">
        <f>AND(#REF!,"AAAAAE//4kg=")</f>
        <v>#REF!</v>
      </c>
      <c r="BV46" t="e">
        <f>AND(#REF!,"AAAAAE//4kk=")</f>
        <v>#REF!</v>
      </c>
      <c r="BW46" t="e">
        <f>AND(#REF!,"AAAAAE//4ko=")</f>
        <v>#REF!</v>
      </c>
      <c r="BX46" t="e">
        <f>AND(#REF!,"AAAAAE//4ks=")</f>
        <v>#REF!</v>
      </c>
      <c r="BY46" t="e">
        <f>AND(#REF!,"AAAAAE//4kw=")</f>
        <v>#REF!</v>
      </c>
      <c r="BZ46" t="e">
        <f>AND(#REF!,"AAAAAE//4k0=")</f>
        <v>#REF!</v>
      </c>
      <c r="CA46" t="e">
        <f>AND(#REF!,"AAAAAE//4k4=")</f>
        <v>#REF!</v>
      </c>
      <c r="CB46" t="e">
        <f>AND(#REF!,"AAAAAE//4k8=")</f>
        <v>#REF!</v>
      </c>
      <c r="CC46" t="e">
        <f>AND(#REF!,"AAAAAE//4lA=")</f>
        <v>#REF!</v>
      </c>
      <c r="CD46" t="e">
        <f>AND(#REF!,"AAAAAE//4lE=")</f>
        <v>#REF!</v>
      </c>
      <c r="CE46" t="e">
        <f>AND(#REF!,"AAAAAE//4lI=")</f>
        <v>#REF!</v>
      </c>
      <c r="CF46" t="e">
        <f>AND(#REF!,"AAAAAE//4lM=")</f>
        <v>#REF!</v>
      </c>
      <c r="CG46" t="e">
        <f>AND(#REF!,"AAAAAE//4lQ=")</f>
        <v>#REF!</v>
      </c>
      <c r="CH46" t="e">
        <f>AND(#REF!,"AAAAAE//4lU=")</f>
        <v>#REF!</v>
      </c>
      <c r="CI46" t="e">
        <f>AND(#REF!,"AAAAAE//4lY=")</f>
        <v>#REF!</v>
      </c>
      <c r="CJ46" t="e">
        <f>IF(#REF!,"AAAAAE//4lc=",0)</f>
        <v>#REF!</v>
      </c>
      <c r="CK46" t="e">
        <f>AND(#REF!,"AAAAAE//4lg=")</f>
        <v>#REF!</v>
      </c>
      <c r="CL46" t="e">
        <f>AND(#REF!,"AAAAAE//4lk=")</f>
        <v>#REF!</v>
      </c>
      <c r="CM46" t="e">
        <f>AND(#REF!,"AAAAAE//4lo=")</f>
        <v>#REF!</v>
      </c>
      <c r="CN46" t="e">
        <f>AND(#REF!,"AAAAAE//4ls=")</f>
        <v>#REF!</v>
      </c>
      <c r="CO46" t="e">
        <f>AND(#REF!,"AAAAAE//4lw=")</f>
        <v>#REF!</v>
      </c>
      <c r="CP46" t="e">
        <f>AND(#REF!,"AAAAAE//4l0=")</f>
        <v>#REF!</v>
      </c>
      <c r="CQ46" t="e">
        <f>AND(#REF!,"AAAAAE//4l4=")</f>
        <v>#REF!</v>
      </c>
      <c r="CR46" t="e">
        <f>AND(#REF!,"AAAAAE//4l8=")</f>
        <v>#REF!</v>
      </c>
      <c r="CS46" t="e">
        <f>AND(#REF!,"AAAAAE//4mA=")</f>
        <v>#REF!</v>
      </c>
      <c r="CT46" t="e">
        <f>AND(#REF!,"AAAAAE//4mE=")</f>
        <v>#REF!</v>
      </c>
      <c r="CU46" t="e">
        <f>AND(#REF!,"AAAAAE//4mI=")</f>
        <v>#REF!</v>
      </c>
      <c r="CV46" t="e">
        <f>AND(#REF!,"AAAAAE//4mM=")</f>
        <v>#REF!</v>
      </c>
      <c r="CW46" t="e">
        <f>AND(#REF!,"AAAAAE//4mQ=")</f>
        <v>#REF!</v>
      </c>
      <c r="CX46" t="e">
        <f>AND(#REF!,"AAAAAE//4mU=")</f>
        <v>#REF!</v>
      </c>
      <c r="CY46" t="e">
        <f>AND(#REF!,"AAAAAE//4mY=")</f>
        <v>#REF!</v>
      </c>
      <c r="CZ46" t="e">
        <f>AND(#REF!,"AAAAAE//4mc=")</f>
        <v>#REF!</v>
      </c>
      <c r="DA46" t="e">
        <f>AND(#REF!,"AAAAAE//4mg=")</f>
        <v>#REF!</v>
      </c>
      <c r="DB46" t="e">
        <f>AND(#REF!,"AAAAAE//4mk=")</f>
        <v>#REF!</v>
      </c>
      <c r="DC46" t="e">
        <f>AND(#REF!,"AAAAAE//4mo=")</f>
        <v>#REF!</v>
      </c>
      <c r="DD46" t="e">
        <f>AND(#REF!,"AAAAAE//4ms=")</f>
        <v>#REF!</v>
      </c>
      <c r="DE46" t="e">
        <f>AND(#REF!,"AAAAAE//4mw=")</f>
        <v>#REF!</v>
      </c>
      <c r="DF46" t="e">
        <f>AND(#REF!,"AAAAAE//4m0=")</f>
        <v>#REF!</v>
      </c>
      <c r="DG46" t="e">
        <f>AND(#REF!,"AAAAAE//4m4=")</f>
        <v>#REF!</v>
      </c>
      <c r="DH46" t="e">
        <f>AND(#REF!,"AAAAAE//4m8=")</f>
        <v>#REF!</v>
      </c>
      <c r="DI46" t="e">
        <f>IF(#REF!,"AAAAAE//4nA=",0)</f>
        <v>#REF!</v>
      </c>
      <c r="DJ46" t="e">
        <f>AND(#REF!,"AAAAAE//4nE=")</f>
        <v>#REF!</v>
      </c>
      <c r="DK46" t="e">
        <f>AND(#REF!,"AAAAAE//4nI=")</f>
        <v>#REF!</v>
      </c>
      <c r="DL46" t="e">
        <f>AND(#REF!,"AAAAAE//4nM=")</f>
        <v>#REF!</v>
      </c>
      <c r="DM46" t="e">
        <f>AND(#REF!,"AAAAAE//4nQ=")</f>
        <v>#REF!</v>
      </c>
      <c r="DN46" t="e">
        <f>AND(#REF!,"AAAAAE//4nU=")</f>
        <v>#REF!</v>
      </c>
      <c r="DO46" t="e">
        <f>AND(#REF!,"AAAAAE//4nY=")</f>
        <v>#REF!</v>
      </c>
      <c r="DP46" t="e">
        <f>AND(#REF!,"AAAAAE//4nc=")</f>
        <v>#REF!</v>
      </c>
      <c r="DQ46" t="e">
        <f>AND(#REF!,"AAAAAE//4ng=")</f>
        <v>#REF!</v>
      </c>
      <c r="DR46" t="e">
        <f>AND(#REF!,"AAAAAE//4nk=")</f>
        <v>#REF!</v>
      </c>
      <c r="DS46" t="e">
        <f>AND(#REF!,"AAAAAE//4no=")</f>
        <v>#REF!</v>
      </c>
      <c r="DT46" t="e">
        <f>AND(#REF!,"AAAAAE//4ns=")</f>
        <v>#REF!</v>
      </c>
      <c r="DU46" t="e">
        <f>AND(#REF!,"AAAAAE//4nw=")</f>
        <v>#REF!</v>
      </c>
      <c r="DV46" t="e">
        <f>AND(#REF!,"AAAAAE//4n0=")</f>
        <v>#REF!</v>
      </c>
      <c r="DW46" t="e">
        <f>AND(#REF!,"AAAAAE//4n4=")</f>
        <v>#REF!</v>
      </c>
      <c r="DX46" t="e">
        <f>AND(#REF!,"AAAAAE//4n8=")</f>
        <v>#REF!</v>
      </c>
      <c r="DY46" t="e">
        <f>AND(#REF!,"AAAAAE//4oA=")</f>
        <v>#REF!</v>
      </c>
      <c r="DZ46" t="e">
        <f>AND(#REF!,"AAAAAE//4oE=")</f>
        <v>#REF!</v>
      </c>
      <c r="EA46" t="e">
        <f>AND(#REF!,"AAAAAE//4oI=")</f>
        <v>#REF!</v>
      </c>
      <c r="EB46" t="e">
        <f>AND(#REF!,"AAAAAE//4oM=")</f>
        <v>#REF!</v>
      </c>
      <c r="EC46" t="e">
        <f>AND(#REF!,"AAAAAE//4oQ=")</f>
        <v>#REF!</v>
      </c>
      <c r="ED46" t="e">
        <f>AND(#REF!,"AAAAAE//4oU=")</f>
        <v>#REF!</v>
      </c>
      <c r="EE46" t="e">
        <f>AND(#REF!,"AAAAAE//4oY=")</f>
        <v>#REF!</v>
      </c>
      <c r="EF46" t="e">
        <f>AND(#REF!,"AAAAAE//4oc=")</f>
        <v>#REF!</v>
      </c>
      <c r="EG46" t="e">
        <f>AND(#REF!,"AAAAAE//4og=")</f>
        <v>#REF!</v>
      </c>
      <c r="EH46" t="e">
        <f>IF(#REF!,"AAAAAE//4ok=",0)</f>
        <v>#REF!</v>
      </c>
      <c r="EI46" t="e">
        <f>AND(#REF!,"AAAAAE//4oo=")</f>
        <v>#REF!</v>
      </c>
      <c r="EJ46" t="e">
        <f>AND(#REF!,"AAAAAE//4os=")</f>
        <v>#REF!</v>
      </c>
      <c r="EK46" t="e">
        <f>AND(#REF!,"AAAAAE//4ow=")</f>
        <v>#REF!</v>
      </c>
      <c r="EL46" t="e">
        <f>AND(#REF!,"AAAAAE//4o0=")</f>
        <v>#REF!</v>
      </c>
      <c r="EM46" t="e">
        <f>AND(#REF!,"AAAAAE//4o4=")</f>
        <v>#REF!</v>
      </c>
      <c r="EN46" t="e">
        <f>AND(#REF!,"AAAAAE//4o8=")</f>
        <v>#REF!</v>
      </c>
      <c r="EO46" t="e">
        <f>AND(#REF!,"AAAAAE//4pA=")</f>
        <v>#REF!</v>
      </c>
      <c r="EP46" t="e">
        <f>AND(#REF!,"AAAAAE//4pE=")</f>
        <v>#REF!</v>
      </c>
      <c r="EQ46" t="e">
        <f>AND(#REF!,"AAAAAE//4pI=")</f>
        <v>#REF!</v>
      </c>
      <c r="ER46" t="e">
        <f>AND(#REF!,"AAAAAE//4pM=")</f>
        <v>#REF!</v>
      </c>
      <c r="ES46" t="e">
        <f>AND(#REF!,"AAAAAE//4pQ=")</f>
        <v>#REF!</v>
      </c>
      <c r="ET46" t="e">
        <f>AND(#REF!,"AAAAAE//4pU=")</f>
        <v>#REF!</v>
      </c>
      <c r="EU46" t="e">
        <f>AND(#REF!,"AAAAAE//4pY=")</f>
        <v>#REF!</v>
      </c>
      <c r="EV46" t="e">
        <f>AND(#REF!,"AAAAAE//4pc=")</f>
        <v>#REF!</v>
      </c>
      <c r="EW46" t="e">
        <f>AND(#REF!,"AAAAAE//4pg=")</f>
        <v>#REF!</v>
      </c>
      <c r="EX46" t="e">
        <f>AND(#REF!,"AAAAAE//4pk=")</f>
        <v>#REF!</v>
      </c>
      <c r="EY46" t="e">
        <f>AND(#REF!,"AAAAAE//4po=")</f>
        <v>#REF!</v>
      </c>
      <c r="EZ46" t="e">
        <f>AND(#REF!,"AAAAAE//4ps=")</f>
        <v>#REF!</v>
      </c>
      <c r="FA46" t="e">
        <f>AND(#REF!,"AAAAAE//4pw=")</f>
        <v>#REF!</v>
      </c>
      <c r="FB46" t="e">
        <f>AND(#REF!,"AAAAAE//4p0=")</f>
        <v>#REF!</v>
      </c>
      <c r="FC46" t="e">
        <f>AND(#REF!,"AAAAAE//4p4=")</f>
        <v>#REF!</v>
      </c>
      <c r="FD46" t="e">
        <f>AND(#REF!,"AAAAAE//4p8=")</f>
        <v>#REF!</v>
      </c>
      <c r="FE46" t="e">
        <f>AND(#REF!,"AAAAAE//4qA=")</f>
        <v>#REF!</v>
      </c>
      <c r="FF46" t="e">
        <f>AND(#REF!,"AAAAAE//4qE=")</f>
        <v>#REF!</v>
      </c>
      <c r="FG46" t="e">
        <f>IF(#REF!,"AAAAAE//4qI=",0)</f>
        <v>#REF!</v>
      </c>
      <c r="FH46" t="e">
        <f>AND(#REF!,"AAAAAE//4qM=")</f>
        <v>#REF!</v>
      </c>
      <c r="FI46" t="e">
        <f>AND(#REF!,"AAAAAE//4qQ=")</f>
        <v>#REF!</v>
      </c>
      <c r="FJ46" t="e">
        <f>AND(#REF!,"AAAAAE//4qU=")</f>
        <v>#REF!</v>
      </c>
      <c r="FK46" t="e">
        <f>AND(#REF!,"AAAAAE//4qY=")</f>
        <v>#REF!</v>
      </c>
      <c r="FL46" t="e">
        <f>AND(#REF!,"AAAAAE//4qc=")</f>
        <v>#REF!</v>
      </c>
      <c r="FM46" t="e">
        <f>AND(#REF!,"AAAAAE//4qg=")</f>
        <v>#REF!</v>
      </c>
      <c r="FN46" t="e">
        <f>AND(#REF!,"AAAAAE//4qk=")</f>
        <v>#REF!</v>
      </c>
      <c r="FO46" t="e">
        <f>AND(#REF!,"AAAAAE//4qo=")</f>
        <v>#REF!</v>
      </c>
      <c r="FP46" t="e">
        <f>AND(#REF!,"AAAAAE//4qs=")</f>
        <v>#REF!</v>
      </c>
      <c r="FQ46" t="e">
        <f>AND(#REF!,"AAAAAE//4qw=")</f>
        <v>#REF!</v>
      </c>
      <c r="FR46" t="e">
        <f>AND(#REF!,"AAAAAE//4q0=")</f>
        <v>#REF!</v>
      </c>
      <c r="FS46" t="e">
        <f>AND(#REF!,"AAAAAE//4q4=")</f>
        <v>#REF!</v>
      </c>
      <c r="FT46" t="e">
        <f>AND(#REF!,"AAAAAE//4q8=")</f>
        <v>#REF!</v>
      </c>
      <c r="FU46" t="e">
        <f>AND(#REF!,"AAAAAE//4rA=")</f>
        <v>#REF!</v>
      </c>
      <c r="FV46" t="e">
        <f>AND(#REF!,"AAAAAE//4rE=")</f>
        <v>#REF!</v>
      </c>
      <c r="FW46" t="e">
        <f>AND(#REF!,"AAAAAE//4rI=")</f>
        <v>#REF!</v>
      </c>
      <c r="FX46" t="e">
        <f>AND(#REF!,"AAAAAE//4rM=")</f>
        <v>#REF!</v>
      </c>
      <c r="FY46" t="e">
        <f>AND(#REF!,"AAAAAE//4rQ=")</f>
        <v>#REF!</v>
      </c>
      <c r="FZ46" t="e">
        <f>AND(#REF!,"AAAAAE//4rU=")</f>
        <v>#REF!</v>
      </c>
      <c r="GA46" t="e">
        <f>AND(#REF!,"AAAAAE//4rY=")</f>
        <v>#REF!</v>
      </c>
      <c r="GB46" t="e">
        <f>AND(#REF!,"AAAAAE//4rc=")</f>
        <v>#REF!</v>
      </c>
      <c r="GC46" t="e">
        <f>AND(#REF!,"AAAAAE//4rg=")</f>
        <v>#REF!</v>
      </c>
      <c r="GD46" t="e">
        <f>AND(#REF!,"AAAAAE//4rk=")</f>
        <v>#REF!</v>
      </c>
      <c r="GE46" t="e">
        <f>AND(#REF!,"AAAAAE//4ro=")</f>
        <v>#REF!</v>
      </c>
      <c r="GF46" t="e">
        <f>IF(#REF!,"AAAAAE//4rs=",0)</f>
        <v>#REF!</v>
      </c>
      <c r="GG46" t="e">
        <f>AND(#REF!,"AAAAAE//4rw=")</f>
        <v>#REF!</v>
      </c>
      <c r="GH46" t="e">
        <f>AND(#REF!,"AAAAAE//4r0=")</f>
        <v>#REF!</v>
      </c>
      <c r="GI46" t="e">
        <f>AND(#REF!,"AAAAAE//4r4=")</f>
        <v>#REF!</v>
      </c>
      <c r="GJ46" t="e">
        <f>AND(#REF!,"AAAAAE//4r8=")</f>
        <v>#REF!</v>
      </c>
      <c r="GK46" t="e">
        <f>AND(#REF!,"AAAAAE//4sA=")</f>
        <v>#REF!</v>
      </c>
      <c r="GL46" t="e">
        <f>AND(#REF!,"AAAAAE//4sE=")</f>
        <v>#REF!</v>
      </c>
      <c r="GM46" t="e">
        <f>AND(#REF!,"AAAAAE//4sI=")</f>
        <v>#REF!</v>
      </c>
      <c r="GN46" t="e">
        <f>AND(#REF!,"AAAAAE//4sM=")</f>
        <v>#REF!</v>
      </c>
      <c r="GO46" t="e">
        <f>AND(#REF!,"AAAAAE//4sQ=")</f>
        <v>#REF!</v>
      </c>
      <c r="GP46" t="e">
        <f>AND(#REF!,"AAAAAE//4sU=")</f>
        <v>#REF!</v>
      </c>
      <c r="GQ46" t="e">
        <f>AND(#REF!,"AAAAAE//4sY=")</f>
        <v>#REF!</v>
      </c>
      <c r="GR46" t="e">
        <f>AND(#REF!,"AAAAAE//4sc=")</f>
        <v>#REF!</v>
      </c>
      <c r="GS46" t="e">
        <f>AND(#REF!,"AAAAAE//4sg=")</f>
        <v>#REF!</v>
      </c>
      <c r="GT46" t="e">
        <f>AND(#REF!,"AAAAAE//4sk=")</f>
        <v>#REF!</v>
      </c>
      <c r="GU46" t="e">
        <f>AND(#REF!,"AAAAAE//4so=")</f>
        <v>#REF!</v>
      </c>
      <c r="GV46" t="e">
        <f>AND(#REF!,"AAAAAE//4ss=")</f>
        <v>#REF!</v>
      </c>
      <c r="GW46" t="e">
        <f>AND(#REF!,"AAAAAE//4sw=")</f>
        <v>#REF!</v>
      </c>
      <c r="GX46" t="e">
        <f>AND(#REF!,"AAAAAE//4s0=")</f>
        <v>#REF!</v>
      </c>
      <c r="GY46" t="e">
        <f>AND(#REF!,"AAAAAE//4s4=")</f>
        <v>#REF!</v>
      </c>
      <c r="GZ46" t="e">
        <f>AND(#REF!,"AAAAAE//4s8=")</f>
        <v>#REF!</v>
      </c>
      <c r="HA46" t="e">
        <f>AND(#REF!,"AAAAAE//4tA=")</f>
        <v>#REF!</v>
      </c>
      <c r="HB46" t="e">
        <f>AND(#REF!,"AAAAAE//4tE=")</f>
        <v>#REF!</v>
      </c>
      <c r="HC46" t="e">
        <f>AND(#REF!,"AAAAAE//4tI=")</f>
        <v>#REF!</v>
      </c>
      <c r="HD46" t="e">
        <f>AND(#REF!,"AAAAAE//4tM=")</f>
        <v>#REF!</v>
      </c>
      <c r="HE46" t="e">
        <f>IF(#REF!,"AAAAAE//4tQ=",0)</f>
        <v>#REF!</v>
      </c>
      <c r="HF46" t="e">
        <f>AND(#REF!,"AAAAAE//4tU=")</f>
        <v>#REF!</v>
      </c>
      <c r="HG46" t="e">
        <f>AND(#REF!,"AAAAAE//4tY=")</f>
        <v>#REF!</v>
      </c>
      <c r="HH46" t="e">
        <f>AND(#REF!,"AAAAAE//4tc=")</f>
        <v>#REF!</v>
      </c>
      <c r="HI46" t="e">
        <f>AND(#REF!,"AAAAAE//4tg=")</f>
        <v>#REF!</v>
      </c>
      <c r="HJ46" t="e">
        <f>AND(#REF!,"AAAAAE//4tk=")</f>
        <v>#REF!</v>
      </c>
      <c r="HK46" t="e">
        <f>AND(#REF!,"AAAAAE//4to=")</f>
        <v>#REF!</v>
      </c>
      <c r="HL46" t="e">
        <f>AND(#REF!,"AAAAAE//4ts=")</f>
        <v>#REF!</v>
      </c>
      <c r="HM46" t="e">
        <f>AND(#REF!,"AAAAAE//4tw=")</f>
        <v>#REF!</v>
      </c>
      <c r="HN46" t="e">
        <f>AND(#REF!,"AAAAAE//4t0=")</f>
        <v>#REF!</v>
      </c>
      <c r="HO46" t="e">
        <f>AND(#REF!,"AAAAAE//4t4=")</f>
        <v>#REF!</v>
      </c>
      <c r="HP46" t="e">
        <f>AND(#REF!,"AAAAAE//4t8=")</f>
        <v>#REF!</v>
      </c>
      <c r="HQ46" t="e">
        <f>AND(#REF!,"AAAAAE//4uA=")</f>
        <v>#REF!</v>
      </c>
      <c r="HR46" t="e">
        <f>AND(#REF!,"AAAAAE//4uE=")</f>
        <v>#REF!</v>
      </c>
      <c r="HS46" t="e">
        <f>AND(#REF!,"AAAAAE//4uI=")</f>
        <v>#REF!</v>
      </c>
      <c r="HT46" t="e">
        <f>AND(#REF!,"AAAAAE//4uM=")</f>
        <v>#REF!</v>
      </c>
      <c r="HU46" t="e">
        <f>AND(#REF!,"AAAAAE//4uQ=")</f>
        <v>#REF!</v>
      </c>
      <c r="HV46" t="e">
        <f>AND(#REF!,"AAAAAE//4uU=")</f>
        <v>#REF!</v>
      </c>
      <c r="HW46" t="e">
        <f>AND(#REF!,"AAAAAE//4uY=")</f>
        <v>#REF!</v>
      </c>
      <c r="HX46" t="e">
        <f>AND(#REF!,"AAAAAE//4uc=")</f>
        <v>#REF!</v>
      </c>
      <c r="HY46" t="e">
        <f>AND(#REF!,"AAAAAE//4ug=")</f>
        <v>#REF!</v>
      </c>
      <c r="HZ46" t="e">
        <f>AND(#REF!,"AAAAAE//4uk=")</f>
        <v>#REF!</v>
      </c>
      <c r="IA46" t="e">
        <f>AND(#REF!,"AAAAAE//4uo=")</f>
        <v>#REF!</v>
      </c>
      <c r="IB46" t="e">
        <f>AND(#REF!,"AAAAAE//4us=")</f>
        <v>#REF!</v>
      </c>
      <c r="IC46" t="e">
        <f>AND(#REF!,"AAAAAE//4uw=")</f>
        <v>#REF!</v>
      </c>
      <c r="ID46" t="e">
        <f>IF(#REF!,"AAAAAE//4u0=",0)</f>
        <v>#REF!</v>
      </c>
      <c r="IE46" t="e">
        <f>AND(#REF!,"AAAAAE//4u4=")</f>
        <v>#REF!</v>
      </c>
      <c r="IF46" t="e">
        <f>AND(#REF!,"AAAAAE//4u8=")</f>
        <v>#REF!</v>
      </c>
      <c r="IG46" t="e">
        <f>AND(#REF!,"AAAAAE//4vA=")</f>
        <v>#REF!</v>
      </c>
      <c r="IH46" t="e">
        <f>AND(#REF!,"AAAAAE//4vE=")</f>
        <v>#REF!</v>
      </c>
      <c r="II46" t="e">
        <f>AND(#REF!,"AAAAAE//4vI=")</f>
        <v>#REF!</v>
      </c>
      <c r="IJ46" t="e">
        <f>AND(#REF!,"AAAAAE//4vM=")</f>
        <v>#REF!</v>
      </c>
      <c r="IK46" t="e">
        <f>AND(#REF!,"AAAAAE//4vQ=")</f>
        <v>#REF!</v>
      </c>
      <c r="IL46" t="e">
        <f>AND(#REF!,"AAAAAE//4vU=")</f>
        <v>#REF!</v>
      </c>
      <c r="IM46" t="e">
        <f>AND(#REF!,"AAAAAE//4vY=")</f>
        <v>#REF!</v>
      </c>
      <c r="IN46" t="e">
        <f>AND(#REF!,"AAAAAE//4vc=")</f>
        <v>#REF!</v>
      </c>
      <c r="IO46" t="e">
        <f>AND(#REF!,"AAAAAE//4vg=")</f>
        <v>#REF!</v>
      </c>
      <c r="IP46" t="e">
        <f>AND(#REF!,"AAAAAE//4vk=")</f>
        <v>#REF!</v>
      </c>
      <c r="IQ46" t="e">
        <f>AND(#REF!,"AAAAAE//4vo=")</f>
        <v>#REF!</v>
      </c>
      <c r="IR46" t="e">
        <f>AND(#REF!,"AAAAAE//4vs=")</f>
        <v>#REF!</v>
      </c>
      <c r="IS46" t="e">
        <f>AND(#REF!,"AAAAAE//4vw=")</f>
        <v>#REF!</v>
      </c>
      <c r="IT46" t="e">
        <f>AND(#REF!,"AAAAAE//4v0=")</f>
        <v>#REF!</v>
      </c>
      <c r="IU46" t="e">
        <f>AND(#REF!,"AAAAAE//4v4=")</f>
        <v>#REF!</v>
      </c>
      <c r="IV46" t="e">
        <f>AND(#REF!,"AAAAAE//4v8=")</f>
        <v>#REF!</v>
      </c>
    </row>
    <row r="47" spans="1:256" x14ac:dyDescent="0.25">
      <c r="A47" t="e">
        <f>AND(#REF!,"AAAAAFTf/wA=")</f>
        <v>#REF!</v>
      </c>
      <c r="B47" t="e">
        <f>AND(#REF!,"AAAAAFTf/wE=")</f>
        <v>#REF!</v>
      </c>
      <c r="C47" t="e">
        <f>AND(#REF!,"AAAAAFTf/wI=")</f>
        <v>#REF!</v>
      </c>
      <c r="D47" t="e">
        <f>AND(#REF!,"AAAAAFTf/wM=")</f>
        <v>#REF!</v>
      </c>
      <c r="E47" t="e">
        <f>AND(#REF!,"AAAAAFTf/wQ=")</f>
        <v>#REF!</v>
      </c>
      <c r="F47" t="e">
        <f>AND(#REF!,"AAAAAFTf/wU=")</f>
        <v>#REF!</v>
      </c>
      <c r="G47" t="e">
        <f>IF(#REF!,"AAAAAFTf/wY=",0)</f>
        <v>#REF!</v>
      </c>
      <c r="H47" t="e">
        <f>AND(#REF!,"AAAAAFTf/wc=")</f>
        <v>#REF!</v>
      </c>
      <c r="I47" t="e">
        <f>AND(#REF!,"AAAAAFTf/wg=")</f>
        <v>#REF!</v>
      </c>
      <c r="J47" t="e">
        <f>AND(#REF!,"AAAAAFTf/wk=")</f>
        <v>#REF!</v>
      </c>
      <c r="K47" t="e">
        <f>AND(#REF!,"AAAAAFTf/wo=")</f>
        <v>#REF!</v>
      </c>
      <c r="L47" t="e">
        <f>AND(#REF!,"AAAAAFTf/ws=")</f>
        <v>#REF!</v>
      </c>
      <c r="M47" t="e">
        <f>AND(#REF!,"AAAAAFTf/ww=")</f>
        <v>#REF!</v>
      </c>
      <c r="N47" t="e">
        <f>AND(#REF!,"AAAAAFTf/w0=")</f>
        <v>#REF!</v>
      </c>
      <c r="O47" t="e">
        <f>AND(#REF!,"AAAAAFTf/w4=")</f>
        <v>#REF!</v>
      </c>
      <c r="P47" t="e">
        <f>AND(#REF!,"AAAAAFTf/w8=")</f>
        <v>#REF!</v>
      </c>
      <c r="Q47" t="e">
        <f>AND(#REF!,"AAAAAFTf/xA=")</f>
        <v>#REF!</v>
      </c>
      <c r="R47" t="e">
        <f>AND(#REF!,"AAAAAFTf/xE=")</f>
        <v>#REF!</v>
      </c>
      <c r="S47" t="e">
        <f>AND(#REF!,"AAAAAFTf/xI=")</f>
        <v>#REF!</v>
      </c>
      <c r="T47" t="e">
        <f>AND(#REF!,"AAAAAFTf/xM=")</f>
        <v>#REF!</v>
      </c>
      <c r="U47" t="e">
        <f>AND(#REF!,"AAAAAFTf/xQ=")</f>
        <v>#REF!</v>
      </c>
      <c r="V47" t="e">
        <f>AND(#REF!,"AAAAAFTf/xU=")</f>
        <v>#REF!</v>
      </c>
      <c r="W47" t="e">
        <f>AND(#REF!,"AAAAAFTf/xY=")</f>
        <v>#REF!</v>
      </c>
      <c r="X47" t="e">
        <f>AND(#REF!,"AAAAAFTf/xc=")</f>
        <v>#REF!</v>
      </c>
      <c r="Y47" t="e">
        <f>AND(#REF!,"AAAAAFTf/xg=")</f>
        <v>#REF!</v>
      </c>
      <c r="Z47" t="e">
        <f>AND(#REF!,"AAAAAFTf/xk=")</f>
        <v>#REF!</v>
      </c>
      <c r="AA47" t="e">
        <f>AND(#REF!,"AAAAAFTf/xo=")</f>
        <v>#REF!</v>
      </c>
      <c r="AB47" t="e">
        <f>AND(#REF!,"AAAAAFTf/xs=")</f>
        <v>#REF!</v>
      </c>
      <c r="AC47" t="e">
        <f>AND(#REF!,"AAAAAFTf/xw=")</f>
        <v>#REF!</v>
      </c>
      <c r="AD47" t="e">
        <f>AND(#REF!,"AAAAAFTf/x0=")</f>
        <v>#REF!</v>
      </c>
      <c r="AE47" t="e">
        <f>AND(#REF!,"AAAAAFTf/x4=")</f>
        <v>#REF!</v>
      </c>
      <c r="AF47" t="e">
        <f>IF(#REF!,"AAAAAFTf/x8=",0)</f>
        <v>#REF!</v>
      </c>
      <c r="AG47" t="e">
        <f>AND(#REF!,"AAAAAFTf/yA=")</f>
        <v>#REF!</v>
      </c>
      <c r="AH47" t="e">
        <f>AND(#REF!,"AAAAAFTf/yE=")</f>
        <v>#REF!</v>
      </c>
      <c r="AI47" t="e">
        <f>AND(#REF!,"AAAAAFTf/yI=")</f>
        <v>#REF!</v>
      </c>
      <c r="AJ47" t="e">
        <f>AND(#REF!,"AAAAAFTf/yM=")</f>
        <v>#REF!</v>
      </c>
      <c r="AK47" t="e">
        <f>AND(#REF!,"AAAAAFTf/yQ=")</f>
        <v>#REF!</v>
      </c>
      <c r="AL47" t="e">
        <f>AND(#REF!,"AAAAAFTf/yU=")</f>
        <v>#REF!</v>
      </c>
      <c r="AM47" t="e">
        <f>AND(#REF!,"AAAAAFTf/yY=")</f>
        <v>#REF!</v>
      </c>
      <c r="AN47" t="e">
        <f>AND(#REF!,"AAAAAFTf/yc=")</f>
        <v>#REF!</v>
      </c>
      <c r="AO47" t="e">
        <f>AND(#REF!,"AAAAAFTf/yg=")</f>
        <v>#REF!</v>
      </c>
      <c r="AP47" t="e">
        <f>AND(#REF!,"AAAAAFTf/yk=")</f>
        <v>#REF!</v>
      </c>
      <c r="AQ47" t="e">
        <f>AND(#REF!,"AAAAAFTf/yo=")</f>
        <v>#REF!</v>
      </c>
      <c r="AR47" t="e">
        <f>AND(#REF!,"AAAAAFTf/ys=")</f>
        <v>#REF!</v>
      </c>
      <c r="AS47" t="e">
        <f>AND(#REF!,"AAAAAFTf/yw=")</f>
        <v>#REF!</v>
      </c>
      <c r="AT47" t="e">
        <f>AND(#REF!,"AAAAAFTf/y0=")</f>
        <v>#REF!</v>
      </c>
      <c r="AU47" t="e">
        <f>AND(#REF!,"AAAAAFTf/y4=")</f>
        <v>#REF!</v>
      </c>
      <c r="AV47" t="e">
        <f>AND(#REF!,"AAAAAFTf/y8=")</f>
        <v>#REF!</v>
      </c>
      <c r="AW47" t="e">
        <f>AND(#REF!,"AAAAAFTf/zA=")</f>
        <v>#REF!</v>
      </c>
      <c r="AX47" t="e">
        <f>AND(#REF!,"AAAAAFTf/zE=")</f>
        <v>#REF!</v>
      </c>
      <c r="AY47" t="e">
        <f>AND(#REF!,"AAAAAFTf/zI=")</f>
        <v>#REF!</v>
      </c>
      <c r="AZ47" t="e">
        <f>AND(#REF!,"AAAAAFTf/zM=")</f>
        <v>#REF!</v>
      </c>
      <c r="BA47" t="e">
        <f>AND(#REF!,"AAAAAFTf/zQ=")</f>
        <v>#REF!</v>
      </c>
      <c r="BB47" t="e">
        <f>AND(#REF!,"AAAAAFTf/zU=")</f>
        <v>#REF!</v>
      </c>
      <c r="BC47" t="e">
        <f>AND(#REF!,"AAAAAFTf/zY=")</f>
        <v>#REF!</v>
      </c>
      <c r="BD47" t="e">
        <f>AND(#REF!,"AAAAAFTf/zc=")</f>
        <v>#REF!</v>
      </c>
      <c r="BE47" t="e">
        <f>IF(#REF!,"AAAAAFTf/zg=",0)</f>
        <v>#REF!</v>
      </c>
      <c r="BF47" t="e">
        <f>AND(#REF!,"AAAAAFTf/zk=")</f>
        <v>#REF!</v>
      </c>
      <c r="BG47" t="e">
        <f>AND(#REF!,"AAAAAFTf/zo=")</f>
        <v>#REF!</v>
      </c>
      <c r="BH47" t="e">
        <f>AND(#REF!,"AAAAAFTf/zs=")</f>
        <v>#REF!</v>
      </c>
      <c r="BI47" t="e">
        <f>AND(#REF!,"AAAAAFTf/zw=")</f>
        <v>#REF!</v>
      </c>
      <c r="BJ47" t="e">
        <f>AND(#REF!,"AAAAAFTf/z0=")</f>
        <v>#REF!</v>
      </c>
      <c r="BK47" t="e">
        <f>AND(#REF!,"AAAAAFTf/z4=")</f>
        <v>#REF!</v>
      </c>
      <c r="BL47" t="e">
        <f>AND(#REF!,"AAAAAFTf/z8=")</f>
        <v>#REF!</v>
      </c>
      <c r="BM47" t="e">
        <f>AND(#REF!,"AAAAAFTf/0A=")</f>
        <v>#REF!</v>
      </c>
      <c r="BN47" t="e">
        <f>AND(#REF!,"AAAAAFTf/0E=")</f>
        <v>#REF!</v>
      </c>
      <c r="BO47" t="e">
        <f>AND(#REF!,"AAAAAFTf/0I=")</f>
        <v>#REF!</v>
      </c>
      <c r="BP47" t="e">
        <f>AND(#REF!,"AAAAAFTf/0M=")</f>
        <v>#REF!</v>
      </c>
      <c r="BQ47" t="e">
        <f>AND(#REF!,"AAAAAFTf/0Q=")</f>
        <v>#REF!</v>
      </c>
      <c r="BR47" t="e">
        <f>AND(#REF!,"AAAAAFTf/0U=")</f>
        <v>#REF!</v>
      </c>
      <c r="BS47" t="e">
        <f>AND(#REF!,"AAAAAFTf/0Y=")</f>
        <v>#REF!</v>
      </c>
      <c r="BT47" t="e">
        <f>AND(#REF!,"AAAAAFTf/0c=")</f>
        <v>#REF!</v>
      </c>
      <c r="BU47" t="e">
        <f>AND(#REF!,"AAAAAFTf/0g=")</f>
        <v>#REF!</v>
      </c>
      <c r="BV47" t="e">
        <f>AND(#REF!,"AAAAAFTf/0k=")</f>
        <v>#REF!</v>
      </c>
      <c r="BW47" t="e">
        <f>AND(#REF!,"AAAAAFTf/0o=")</f>
        <v>#REF!</v>
      </c>
      <c r="BX47" t="e">
        <f>AND(#REF!,"AAAAAFTf/0s=")</f>
        <v>#REF!</v>
      </c>
      <c r="BY47" t="e">
        <f>AND(#REF!,"AAAAAFTf/0w=")</f>
        <v>#REF!</v>
      </c>
      <c r="BZ47" t="e">
        <f>AND(#REF!,"AAAAAFTf/00=")</f>
        <v>#REF!</v>
      </c>
      <c r="CA47" t="e">
        <f>AND(#REF!,"AAAAAFTf/04=")</f>
        <v>#REF!</v>
      </c>
      <c r="CB47" t="e">
        <f>AND(#REF!,"AAAAAFTf/08=")</f>
        <v>#REF!</v>
      </c>
      <c r="CC47" t="e">
        <f>AND(#REF!,"AAAAAFTf/1A=")</f>
        <v>#REF!</v>
      </c>
      <c r="CD47" t="e">
        <f>IF(#REF!,"AAAAAFTf/1E=",0)</f>
        <v>#REF!</v>
      </c>
      <c r="CE47" t="e">
        <f>AND(#REF!,"AAAAAFTf/1I=")</f>
        <v>#REF!</v>
      </c>
      <c r="CF47" t="e">
        <f>AND(#REF!,"AAAAAFTf/1M=")</f>
        <v>#REF!</v>
      </c>
      <c r="CG47" t="e">
        <f>AND(#REF!,"AAAAAFTf/1Q=")</f>
        <v>#REF!</v>
      </c>
      <c r="CH47" t="e">
        <f>AND(#REF!,"AAAAAFTf/1U=")</f>
        <v>#REF!</v>
      </c>
      <c r="CI47" t="e">
        <f>AND(#REF!,"AAAAAFTf/1Y=")</f>
        <v>#REF!</v>
      </c>
      <c r="CJ47" t="e">
        <f>AND(#REF!,"AAAAAFTf/1c=")</f>
        <v>#REF!</v>
      </c>
      <c r="CK47" t="e">
        <f>AND(#REF!,"AAAAAFTf/1g=")</f>
        <v>#REF!</v>
      </c>
      <c r="CL47" t="e">
        <f>AND(#REF!,"AAAAAFTf/1k=")</f>
        <v>#REF!</v>
      </c>
      <c r="CM47" t="e">
        <f>AND(#REF!,"AAAAAFTf/1o=")</f>
        <v>#REF!</v>
      </c>
      <c r="CN47" t="e">
        <f>AND(#REF!,"AAAAAFTf/1s=")</f>
        <v>#REF!</v>
      </c>
      <c r="CO47" t="e">
        <f>AND(#REF!,"AAAAAFTf/1w=")</f>
        <v>#REF!</v>
      </c>
      <c r="CP47" t="e">
        <f>AND(#REF!,"AAAAAFTf/10=")</f>
        <v>#REF!</v>
      </c>
      <c r="CQ47" t="e">
        <f>AND(#REF!,"AAAAAFTf/14=")</f>
        <v>#REF!</v>
      </c>
      <c r="CR47" t="e">
        <f>AND(#REF!,"AAAAAFTf/18=")</f>
        <v>#REF!</v>
      </c>
      <c r="CS47" t="e">
        <f>AND(#REF!,"AAAAAFTf/2A=")</f>
        <v>#REF!</v>
      </c>
      <c r="CT47" t="e">
        <f>AND(#REF!,"AAAAAFTf/2E=")</f>
        <v>#REF!</v>
      </c>
      <c r="CU47" t="e">
        <f>AND(#REF!,"AAAAAFTf/2I=")</f>
        <v>#REF!</v>
      </c>
      <c r="CV47" t="e">
        <f>AND(#REF!,"AAAAAFTf/2M=")</f>
        <v>#REF!</v>
      </c>
      <c r="CW47" t="e">
        <f>AND(#REF!,"AAAAAFTf/2Q=")</f>
        <v>#REF!</v>
      </c>
      <c r="CX47" t="e">
        <f>AND(#REF!,"AAAAAFTf/2U=")</f>
        <v>#REF!</v>
      </c>
      <c r="CY47" t="e">
        <f>AND(#REF!,"AAAAAFTf/2Y=")</f>
        <v>#REF!</v>
      </c>
      <c r="CZ47" t="e">
        <f>AND(#REF!,"AAAAAFTf/2c=")</f>
        <v>#REF!</v>
      </c>
      <c r="DA47" t="e">
        <f>AND(#REF!,"AAAAAFTf/2g=")</f>
        <v>#REF!</v>
      </c>
      <c r="DB47" t="e">
        <f>AND(#REF!,"AAAAAFTf/2k=")</f>
        <v>#REF!</v>
      </c>
      <c r="DC47" t="e">
        <f>IF(#REF!,"AAAAAFTf/2o=",0)</f>
        <v>#REF!</v>
      </c>
      <c r="DD47" t="e">
        <f>AND(#REF!,"AAAAAFTf/2s=")</f>
        <v>#REF!</v>
      </c>
      <c r="DE47" t="e">
        <f>AND(#REF!,"AAAAAFTf/2w=")</f>
        <v>#REF!</v>
      </c>
      <c r="DF47" t="e">
        <f>AND(#REF!,"AAAAAFTf/20=")</f>
        <v>#REF!</v>
      </c>
      <c r="DG47" t="e">
        <f>AND(#REF!,"AAAAAFTf/24=")</f>
        <v>#REF!</v>
      </c>
      <c r="DH47" t="e">
        <f>AND(#REF!,"AAAAAFTf/28=")</f>
        <v>#REF!</v>
      </c>
      <c r="DI47" t="e">
        <f>AND(#REF!,"AAAAAFTf/3A=")</f>
        <v>#REF!</v>
      </c>
      <c r="DJ47" t="e">
        <f>AND(#REF!,"AAAAAFTf/3E=")</f>
        <v>#REF!</v>
      </c>
      <c r="DK47" t="e">
        <f>AND(#REF!,"AAAAAFTf/3I=")</f>
        <v>#REF!</v>
      </c>
      <c r="DL47" t="e">
        <f>AND(#REF!,"AAAAAFTf/3M=")</f>
        <v>#REF!</v>
      </c>
      <c r="DM47" t="e">
        <f>AND(#REF!,"AAAAAFTf/3Q=")</f>
        <v>#REF!</v>
      </c>
      <c r="DN47" t="e">
        <f>AND(#REF!,"AAAAAFTf/3U=")</f>
        <v>#REF!</v>
      </c>
      <c r="DO47" t="e">
        <f>AND(#REF!,"AAAAAFTf/3Y=")</f>
        <v>#REF!</v>
      </c>
      <c r="DP47" t="e">
        <f>AND(#REF!,"AAAAAFTf/3c=")</f>
        <v>#REF!</v>
      </c>
      <c r="DQ47" t="e">
        <f>AND(#REF!,"AAAAAFTf/3g=")</f>
        <v>#REF!</v>
      </c>
      <c r="DR47" t="e">
        <f>AND(#REF!,"AAAAAFTf/3k=")</f>
        <v>#REF!</v>
      </c>
      <c r="DS47" t="e">
        <f>AND(#REF!,"AAAAAFTf/3o=")</f>
        <v>#REF!</v>
      </c>
      <c r="DT47" t="e">
        <f>AND(#REF!,"AAAAAFTf/3s=")</f>
        <v>#REF!</v>
      </c>
      <c r="DU47" t="e">
        <f>AND(#REF!,"AAAAAFTf/3w=")</f>
        <v>#REF!</v>
      </c>
      <c r="DV47" t="e">
        <f>AND(#REF!,"AAAAAFTf/30=")</f>
        <v>#REF!</v>
      </c>
      <c r="DW47" t="e">
        <f>AND(#REF!,"AAAAAFTf/34=")</f>
        <v>#REF!</v>
      </c>
      <c r="DX47" t="e">
        <f>AND(#REF!,"AAAAAFTf/38=")</f>
        <v>#REF!</v>
      </c>
      <c r="DY47" t="e">
        <f>AND(#REF!,"AAAAAFTf/4A=")</f>
        <v>#REF!</v>
      </c>
      <c r="DZ47" t="e">
        <f>AND(#REF!,"AAAAAFTf/4E=")</f>
        <v>#REF!</v>
      </c>
      <c r="EA47" t="e">
        <f>AND(#REF!,"AAAAAFTf/4I=")</f>
        <v>#REF!</v>
      </c>
      <c r="EB47" t="e">
        <f>IF(#REF!,"AAAAAFTf/4M=",0)</f>
        <v>#REF!</v>
      </c>
      <c r="EC47" t="e">
        <f>AND(#REF!,"AAAAAFTf/4Q=")</f>
        <v>#REF!</v>
      </c>
      <c r="ED47" t="e">
        <f>AND(#REF!,"AAAAAFTf/4U=")</f>
        <v>#REF!</v>
      </c>
      <c r="EE47" t="e">
        <f>AND(#REF!,"AAAAAFTf/4Y=")</f>
        <v>#REF!</v>
      </c>
      <c r="EF47" t="e">
        <f>AND(#REF!,"AAAAAFTf/4c=")</f>
        <v>#REF!</v>
      </c>
      <c r="EG47" t="e">
        <f>AND(#REF!,"AAAAAFTf/4g=")</f>
        <v>#REF!</v>
      </c>
      <c r="EH47" t="e">
        <f>AND(#REF!,"AAAAAFTf/4k=")</f>
        <v>#REF!</v>
      </c>
      <c r="EI47" t="e">
        <f>AND(#REF!,"AAAAAFTf/4o=")</f>
        <v>#REF!</v>
      </c>
      <c r="EJ47" t="e">
        <f>AND(#REF!,"AAAAAFTf/4s=")</f>
        <v>#REF!</v>
      </c>
      <c r="EK47" t="e">
        <f>AND(#REF!,"AAAAAFTf/4w=")</f>
        <v>#REF!</v>
      </c>
      <c r="EL47" t="e">
        <f>AND(#REF!,"AAAAAFTf/40=")</f>
        <v>#REF!</v>
      </c>
      <c r="EM47" t="e">
        <f>AND(#REF!,"AAAAAFTf/44=")</f>
        <v>#REF!</v>
      </c>
      <c r="EN47" t="e">
        <f>AND(#REF!,"AAAAAFTf/48=")</f>
        <v>#REF!</v>
      </c>
      <c r="EO47" t="e">
        <f>AND(#REF!,"AAAAAFTf/5A=")</f>
        <v>#REF!</v>
      </c>
      <c r="EP47" t="e">
        <f>AND(#REF!,"AAAAAFTf/5E=")</f>
        <v>#REF!</v>
      </c>
      <c r="EQ47" t="e">
        <f>AND(#REF!,"AAAAAFTf/5I=")</f>
        <v>#REF!</v>
      </c>
      <c r="ER47" t="e">
        <f>AND(#REF!,"AAAAAFTf/5M=")</f>
        <v>#REF!</v>
      </c>
      <c r="ES47" t="e">
        <f>AND(#REF!,"AAAAAFTf/5Q=")</f>
        <v>#REF!</v>
      </c>
      <c r="ET47" t="e">
        <f>AND(#REF!,"AAAAAFTf/5U=")</f>
        <v>#REF!</v>
      </c>
      <c r="EU47" t="e">
        <f>AND(#REF!,"AAAAAFTf/5Y=")</f>
        <v>#REF!</v>
      </c>
      <c r="EV47" t="e">
        <f>AND(#REF!,"AAAAAFTf/5c=")</f>
        <v>#REF!</v>
      </c>
      <c r="EW47" t="e">
        <f>AND(#REF!,"AAAAAFTf/5g=")</f>
        <v>#REF!</v>
      </c>
      <c r="EX47" t="e">
        <f>AND(#REF!,"AAAAAFTf/5k=")</f>
        <v>#REF!</v>
      </c>
      <c r="EY47" t="e">
        <f>AND(#REF!,"AAAAAFTf/5o=")</f>
        <v>#REF!</v>
      </c>
      <c r="EZ47" t="e">
        <f>AND(#REF!,"AAAAAFTf/5s=")</f>
        <v>#REF!</v>
      </c>
      <c r="FA47" t="e">
        <f>IF(#REF!,"AAAAAFTf/5w=",0)</f>
        <v>#REF!</v>
      </c>
      <c r="FB47" t="e">
        <f>AND(#REF!,"AAAAAFTf/50=")</f>
        <v>#REF!</v>
      </c>
      <c r="FC47" t="e">
        <f>AND(#REF!,"AAAAAFTf/54=")</f>
        <v>#REF!</v>
      </c>
      <c r="FD47" t="e">
        <f>AND(#REF!,"AAAAAFTf/58=")</f>
        <v>#REF!</v>
      </c>
      <c r="FE47" t="e">
        <f>AND(#REF!,"AAAAAFTf/6A=")</f>
        <v>#REF!</v>
      </c>
      <c r="FF47" t="e">
        <f>AND(#REF!,"AAAAAFTf/6E=")</f>
        <v>#REF!</v>
      </c>
      <c r="FG47" t="e">
        <f>AND(#REF!,"AAAAAFTf/6I=")</f>
        <v>#REF!</v>
      </c>
      <c r="FH47" t="e">
        <f>AND(#REF!,"AAAAAFTf/6M=")</f>
        <v>#REF!</v>
      </c>
      <c r="FI47" t="e">
        <f>AND(#REF!,"AAAAAFTf/6Q=")</f>
        <v>#REF!</v>
      </c>
      <c r="FJ47" t="e">
        <f>AND(#REF!,"AAAAAFTf/6U=")</f>
        <v>#REF!</v>
      </c>
      <c r="FK47" t="e">
        <f>AND(#REF!,"AAAAAFTf/6Y=")</f>
        <v>#REF!</v>
      </c>
      <c r="FL47" t="e">
        <f>AND(#REF!,"AAAAAFTf/6c=")</f>
        <v>#REF!</v>
      </c>
      <c r="FM47" t="e">
        <f>AND(#REF!,"AAAAAFTf/6g=")</f>
        <v>#REF!</v>
      </c>
      <c r="FN47" t="e">
        <f>AND(#REF!,"AAAAAFTf/6k=")</f>
        <v>#REF!</v>
      </c>
      <c r="FO47" t="e">
        <f>AND(#REF!,"AAAAAFTf/6o=")</f>
        <v>#REF!</v>
      </c>
      <c r="FP47" t="e">
        <f>AND(#REF!,"AAAAAFTf/6s=")</f>
        <v>#REF!</v>
      </c>
      <c r="FQ47" t="e">
        <f>AND(#REF!,"AAAAAFTf/6w=")</f>
        <v>#REF!</v>
      </c>
      <c r="FR47" t="e">
        <f>AND(#REF!,"AAAAAFTf/60=")</f>
        <v>#REF!</v>
      </c>
      <c r="FS47" t="e">
        <f>AND(#REF!,"AAAAAFTf/64=")</f>
        <v>#REF!</v>
      </c>
      <c r="FT47" t="e">
        <f>AND(#REF!,"AAAAAFTf/68=")</f>
        <v>#REF!</v>
      </c>
      <c r="FU47" t="e">
        <f>AND(#REF!,"AAAAAFTf/7A=")</f>
        <v>#REF!</v>
      </c>
      <c r="FV47" t="e">
        <f>AND(#REF!,"AAAAAFTf/7E=")</f>
        <v>#REF!</v>
      </c>
      <c r="FW47" t="e">
        <f>AND(#REF!,"AAAAAFTf/7I=")</f>
        <v>#REF!</v>
      </c>
      <c r="FX47" t="e">
        <f>AND(#REF!,"AAAAAFTf/7M=")</f>
        <v>#REF!</v>
      </c>
      <c r="FY47" t="e">
        <f>AND(#REF!,"AAAAAFTf/7Q=")</f>
        <v>#REF!</v>
      </c>
      <c r="FZ47" t="e">
        <f>IF(#REF!,"AAAAAFTf/7U=",0)</f>
        <v>#REF!</v>
      </c>
      <c r="GA47" t="e">
        <f>AND(#REF!,"AAAAAFTf/7Y=")</f>
        <v>#REF!</v>
      </c>
      <c r="GB47" t="e">
        <f>AND(#REF!,"AAAAAFTf/7c=")</f>
        <v>#REF!</v>
      </c>
      <c r="GC47" t="e">
        <f>AND(#REF!,"AAAAAFTf/7g=")</f>
        <v>#REF!</v>
      </c>
      <c r="GD47" t="e">
        <f>AND(#REF!,"AAAAAFTf/7k=")</f>
        <v>#REF!</v>
      </c>
      <c r="GE47" t="e">
        <f>AND(#REF!,"AAAAAFTf/7o=")</f>
        <v>#REF!</v>
      </c>
      <c r="GF47" t="e">
        <f>AND(#REF!,"AAAAAFTf/7s=")</f>
        <v>#REF!</v>
      </c>
      <c r="GG47" t="e">
        <f>AND(#REF!,"AAAAAFTf/7w=")</f>
        <v>#REF!</v>
      </c>
      <c r="GH47" t="e">
        <f>AND(#REF!,"AAAAAFTf/70=")</f>
        <v>#REF!</v>
      </c>
      <c r="GI47" t="e">
        <f>AND(#REF!,"AAAAAFTf/74=")</f>
        <v>#REF!</v>
      </c>
      <c r="GJ47" t="e">
        <f>AND(#REF!,"AAAAAFTf/78=")</f>
        <v>#REF!</v>
      </c>
      <c r="GK47" t="e">
        <f>AND(#REF!,"AAAAAFTf/8A=")</f>
        <v>#REF!</v>
      </c>
      <c r="GL47" t="e">
        <f>AND(#REF!,"AAAAAFTf/8E=")</f>
        <v>#REF!</v>
      </c>
      <c r="GM47" t="e">
        <f>AND(#REF!,"AAAAAFTf/8I=")</f>
        <v>#REF!</v>
      </c>
      <c r="GN47" t="e">
        <f>AND(#REF!,"AAAAAFTf/8M=")</f>
        <v>#REF!</v>
      </c>
      <c r="GO47" t="e">
        <f>AND(#REF!,"AAAAAFTf/8Q=")</f>
        <v>#REF!</v>
      </c>
      <c r="GP47" t="e">
        <f>AND(#REF!,"AAAAAFTf/8U=")</f>
        <v>#REF!</v>
      </c>
      <c r="GQ47" t="e">
        <f>AND(#REF!,"AAAAAFTf/8Y=")</f>
        <v>#REF!</v>
      </c>
      <c r="GR47" t="e">
        <f>AND(#REF!,"AAAAAFTf/8c=")</f>
        <v>#REF!</v>
      </c>
      <c r="GS47" t="e">
        <f>AND(#REF!,"AAAAAFTf/8g=")</f>
        <v>#REF!</v>
      </c>
      <c r="GT47" t="e">
        <f>AND(#REF!,"AAAAAFTf/8k=")</f>
        <v>#REF!</v>
      </c>
      <c r="GU47" t="e">
        <f>AND(#REF!,"AAAAAFTf/8o=")</f>
        <v>#REF!</v>
      </c>
      <c r="GV47" t="e">
        <f>AND(#REF!,"AAAAAFTf/8s=")</f>
        <v>#REF!</v>
      </c>
      <c r="GW47" t="e">
        <f>AND(#REF!,"AAAAAFTf/8w=")</f>
        <v>#REF!</v>
      </c>
      <c r="GX47" t="e">
        <f>AND(#REF!,"AAAAAFTf/80=")</f>
        <v>#REF!</v>
      </c>
      <c r="GY47" t="e">
        <f>IF(#REF!,"AAAAAFTf/84=",0)</f>
        <v>#REF!</v>
      </c>
      <c r="GZ47" t="e">
        <f>AND(#REF!,"AAAAAFTf/88=")</f>
        <v>#REF!</v>
      </c>
      <c r="HA47" t="e">
        <f>AND(#REF!,"AAAAAFTf/9A=")</f>
        <v>#REF!</v>
      </c>
      <c r="HB47" t="e">
        <f>AND(#REF!,"AAAAAFTf/9E=")</f>
        <v>#REF!</v>
      </c>
      <c r="HC47" t="e">
        <f>AND(#REF!,"AAAAAFTf/9I=")</f>
        <v>#REF!</v>
      </c>
      <c r="HD47" t="e">
        <f>AND(#REF!,"AAAAAFTf/9M=")</f>
        <v>#REF!</v>
      </c>
      <c r="HE47" t="e">
        <f>AND(#REF!,"AAAAAFTf/9Q=")</f>
        <v>#REF!</v>
      </c>
      <c r="HF47" t="e">
        <f>AND(#REF!,"AAAAAFTf/9U=")</f>
        <v>#REF!</v>
      </c>
      <c r="HG47" t="e">
        <f>AND(#REF!,"AAAAAFTf/9Y=")</f>
        <v>#REF!</v>
      </c>
      <c r="HH47" t="e">
        <f>AND(#REF!,"AAAAAFTf/9c=")</f>
        <v>#REF!</v>
      </c>
      <c r="HI47" t="e">
        <f>AND(#REF!,"AAAAAFTf/9g=")</f>
        <v>#REF!</v>
      </c>
      <c r="HJ47" t="e">
        <f>AND(#REF!,"AAAAAFTf/9k=")</f>
        <v>#REF!</v>
      </c>
      <c r="HK47" t="e">
        <f>AND(#REF!,"AAAAAFTf/9o=")</f>
        <v>#REF!</v>
      </c>
      <c r="HL47" t="e">
        <f>AND(#REF!,"AAAAAFTf/9s=")</f>
        <v>#REF!</v>
      </c>
      <c r="HM47" t="e">
        <f>AND(#REF!,"AAAAAFTf/9w=")</f>
        <v>#REF!</v>
      </c>
      <c r="HN47" t="e">
        <f>AND(#REF!,"AAAAAFTf/90=")</f>
        <v>#REF!</v>
      </c>
      <c r="HO47" t="e">
        <f>AND(#REF!,"AAAAAFTf/94=")</f>
        <v>#REF!</v>
      </c>
      <c r="HP47" t="e">
        <f>AND(#REF!,"AAAAAFTf/98=")</f>
        <v>#REF!</v>
      </c>
      <c r="HQ47" t="e">
        <f>AND(#REF!,"AAAAAFTf/+A=")</f>
        <v>#REF!</v>
      </c>
      <c r="HR47" t="e">
        <f>AND(#REF!,"AAAAAFTf/+E=")</f>
        <v>#REF!</v>
      </c>
      <c r="HS47" t="e">
        <f>AND(#REF!,"AAAAAFTf/+I=")</f>
        <v>#REF!</v>
      </c>
      <c r="HT47" t="e">
        <f>AND(#REF!,"AAAAAFTf/+M=")</f>
        <v>#REF!</v>
      </c>
      <c r="HU47" t="e">
        <f>AND(#REF!,"AAAAAFTf/+Q=")</f>
        <v>#REF!</v>
      </c>
      <c r="HV47" t="e">
        <f>AND(#REF!,"AAAAAFTf/+U=")</f>
        <v>#REF!</v>
      </c>
      <c r="HW47" t="e">
        <f>AND(#REF!,"AAAAAFTf/+Y=")</f>
        <v>#REF!</v>
      </c>
      <c r="HX47" t="e">
        <f>IF(#REF!,"AAAAAFTf/+c=",0)</f>
        <v>#REF!</v>
      </c>
      <c r="HY47" t="e">
        <f>AND(#REF!,"AAAAAFTf/+g=")</f>
        <v>#REF!</v>
      </c>
      <c r="HZ47" t="e">
        <f>AND(#REF!,"AAAAAFTf/+k=")</f>
        <v>#REF!</v>
      </c>
      <c r="IA47" t="e">
        <f>AND(#REF!,"AAAAAFTf/+o=")</f>
        <v>#REF!</v>
      </c>
      <c r="IB47" t="e">
        <f>AND(#REF!,"AAAAAFTf/+s=")</f>
        <v>#REF!</v>
      </c>
      <c r="IC47" t="e">
        <f>AND(#REF!,"AAAAAFTf/+w=")</f>
        <v>#REF!</v>
      </c>
      <c r="ID47" t="e">
        <f>AND(#REF!,"AAAAAFTf/+0=")</f>
        <v>#REF!</v>
      </c>
      <c r="IE47" t="e">
        <f>AND(#REF!,"AAAAAFTf/+4=")</f>
        <v>#REF!</v>
      </c>
      <c r="IF47" t="e">
        <f>AND(#REF!,"AAAAAFTf/+8=")</f>
        <v>#REF!</v>
      </c>
      <c r="IG47" t="e">
        <f>AND(#REF!,"AAAAAFTf//A=")</f>
        <v>#REF!</v>
      </c>
      <c r="IH47" t="e">
        <f>AND(#REF!,"AAAAAFTf//E=")</f>
        <v>#REF!</v>
      </c>
      <c r="II47" t="e">
        <f>AND(#REF!,"AAAAAFTf//I=")</f>
        <v>#REF!</v>
      </c>
      <c r="IJ47" t="e">
        <f>AND(#REF!,"AAAAAFTf//M=")</f>
        <v>#REF!</v>
      </c>
      <c r="IK47" t="e">
        <f>AND(#REF!,"AAAAAFTf//Q=")</f>
        <v>#REF!</v>
      </c>
      <c r="IL47" t="e">
        <f>AND(#REF!,"AAAAAFTf//U=")</f>
        <v>#REF!</v>
      </c>
      <c r="IM47" t="e">
        <f>AND(#REF!,"AAAAAFTf//Y=")</f>
        <v>#REF!</v>
      </c>
      <c r="IN47" t="e">
        <f>AND(#REF!,"AAAAAFTf//c=")</f>
        <v>#REF!</v>
      </c>
      <c r="IO47" t="e">
        <f>AND(#REF!,"AAAAAFTf//g=")</f>
        <v>#REF!</v>
      </c>
      <c r="IP47" t="e">
        <f>AND(#REF!,"AAAAAFTf//k=")</f>
        <v>#REF!</v>
      </c>
      <c r="IQ47" t="e">
        <f>AND(#REF!,"AAAAAFTf//o=")</f>
        <v>#REF!</v>
      </c>
      <c r="IR47" t="e">
        <f>AND(#REF!,"AAAAAFTf//s=")</f>
        <v>#REF!</v>
      </c>
      <c r="IS47" t="e">
        <f>AND(#REF!,"AAAAAFTf//w=")</f>
        <v>#REF!</v>
      </c>
      <c r="IT47" t="e">
        <f>AND(#REF!,"AAAAAFTf//0=")</f>
        <v>#REF!</v>
      </c>
      <c r="IU47" t="e">
        <f>AND(#REF!,"AAAAAFTf//4=")</f>
        <v>#REF!</v>
      </c>
      <c r="IV47" t="e">
        <f>AND(#REF!,"AAAAAFTf//8=")</f>
        <v>#REF!</v>
      </c>
    </row>
    <row r="48" spans="1:256" x14ac:dyDescent="0.25">
      <c r="A48" t="e">
        <f>IF(#REF!,"AAAAAFfr7wA=",0)</f>
        <v>#REF!</v>
      </c>
      <c r="B48" t="e">
        <f>AND(#REF!,"AAAAAFfr7wE=")</f>
        <v>#REF!</v>
      </c>
      <c r="C48" t="e">
        <f>AND(#REF!,"AAAAAFfr7wI=")</f>
        <v>#REF!</v>
      </c>
      <c r="D48" t="e">
        <f>AND(#REF!,"AAAAAFfr7wM=")</f>
        <v>#REF!</v>
      </c>
      <c r="E48" t="e">
        <f>AND(#REF!,"AAAAAFfr7wQ=")</f>
        <v>#REF!</v>
      </c>
      <c r="F48" t="e">
        <f>AND(#REF!,"AAAAAFfr7wU=")</f>
        <v>#REF!</v>
      </c>
      <c r="G48" t="e">
        <f>AND(#REF!,"AAAAAFfr7wY=")</f>
        <v>#REF!</v>
      </c>
      <c r="H48" t="e">
        <f>AND(#REF!,"AAAAAFfr7wc=")</f>
        <v>#REF!</v>
      </c>
      <c r="I48" t="e">
        <f>AND(#REF!,"AAAAAFfr7wg=")</f>
        <v>#REF!</v>
      </c>
      <c r="J48" t="e">
        <f>AND(#REF!,"AAAAAFfr7wk=")</f>
        <v>#REF!</v>
      </c>
      <c r="K48" t="e">
        <f>AND(#REF!,"AAAAAFfr7wo=")</f>
        <v>#REF!</v>
      </c>
      <c r="L48" t="e">
        <f>AND(#REF!,"AAAAAFfr7ws=")</f>
        <v>#REF!</v>
      </c>
      <c r="M48" t="e">
        <f>AND(#REF!,"AAAAAFfr7ww=")</f>
        <v>#REF!</v>
      </c>
      <c r="N48" t="e">
        <f>AND(#REF!,"AAAAAFfr7w0=")</f>
        <v>#REF!</v>
      </c>
      <c r="O48" t="e">
        <f>AND(#REF!,"AAAAAFfr7w4=")</f>
        <v>#REF!</v>
      </c>
      <c r="P48" t="e">
        <f>AND(#REF!,"AAAAAFfr7w8=")</f>
        <v>#REF!</v>
      </c>
      <c r="Q48" t="e">
        <f>AND(#REF!,"AAAAAFfr7xA=")</f>
        <v>#REF!</v>
      </c>
      <c r="R48" t="e">
        <f>AND(#REF!,"AAAAAFfr7xE=")</f>
        <v>#REF!</v>
      </c>
      <c r="S48" t="e">
        <f>AND(#REF!,"AAAAAFfr7xI=")</f>
        <v>#REF!</v>
      </c>
      <c r="T48" t="e">
        <f>AND(#REF!,"AAAAAFfr7xM=")</f>
        <v>#REF!</v>
      </c>
      <c r="U48" t="e">
        <f>AND(#REF!,"AAAAAFfr7xQ=")</f>
        <v>#REF!</v>
      </c>
      <c r="V48" t="e">
        <f>AND(#REF!,"AAAAAFfr7xU=")</f>
        <v>#REF!</v>
      </c>
      <c r="W48" t="e">
        <f>AND(#REF!,"AAAAAFfr7xY=")</f>
        <v>#REF!</v>
      </c>
      <c r="X48" t="e">
        <f>AND(#REF!,"AAAAAFfr7xc=")</f>
        <v>#REF!</v>
      </c>
      <c r="Y48" t="e">
        <f>AND(#REF!,"AAAAAFfr7xg=")</f>
        <v>#REF!</v>
      </c>
      <c r="Z48" t="e">
        <f>IF(#REF!,"AAAAAFfr7xk=",0)</f>
        <v>#REF!</v>
      </c>
      <c r="AA48" t="e">
        <f>AND(#REF!,"AAAAAFfr7xo=")</f>
        <v>#REF!</v>
      </c>
      <c r="AB48" t="e">
        <f>AND(#REF!,"AAAAAFfr7xs=")</f>
        <v>#REF!</v>
      </c>
      <c r="AC48" t="e">
        <f>AND(#REF!,"AAAAAFfr7xw=")</f>
        <v>#REF!</v>
      </c>
      <c r="AD48" t="e">
        <f>AND(#REF!,"AAAAAFfr7x0=")</f>
        <v>#REF!</v>
      </c>
      <c r="AE48" t="e">
        <f>AND(#REF!,"AAAAAFfr7x4=")</f>
        <v>#REF!</v>
      </c>
      <c r="AF48" t="e">
        <f>AND(#REF!,"AAAAAFfr7x8=")</f>
        <v>#REF!</v>
      </c>
      <c r="AG48" t="e">
        <f>AND(#REF!,"AAAAAFfr7yA=")</f>
        <v>#REF!</v>
      </c>
      <c r="AH48" t="e">
        <f>AND(#REF!,"AAAAAFfr7yE=")</f>
        <v>#REF!</v>
      </c>
      <c r="AI48" t="e">
        <f>AND(#REF!,"AAAAAFfr7yI=")</f>
        <v>#REF!</v>
      </c>
      <c r="AJ48" t="e">
        <f>AND(#REF!,"AAAAAFfr7yM=")</f>
        <v>#REF!</v>
      </c>
      <c r="AK48" t="e">
        <f>AND(#REF!,"AAAAAFfr7yQ=")</f>
        <v>#REF!</v>
      </c>
      <c r="AL48" t="e">
        <f>AND(#REF!,"AAAAAFfr7yU=")</f>
        <v>#REF!</v>
      </c>
      <c r="AM48" t="e">
        <f>AND(#REF!,"AAAAAFfr7yY=")</f>
        <v>#REF!</v>
      </c>
      <c r="AN48" t="e">
        <f>AND(#REF!,"AAAAAFfr7yc=")</f>
        <v>#REF!</v>
      </c>
      <c r="AO48" t="e">
        <f>AND(#REF!,"AAAAAFfr7yg=")</f>
        <v>#REF!</v>
      </c>
      <c r="AP48" t="e">
        <f>AND(#REF!,"AAAAAFfr7yk=")</f>
        <v>#REF!</v>
      </c>
      <c r="AQ48" t="e">
        <f>AND(#REF!,"AAAAAFfr7yo=")</f>
        <v>#REF!</v>
      </c>
      <c r="AR48" t="e">
        <f>AND(#REF!,"AAAAAFfr7ys=")</f>
        <v>#REF!</v>
      </c>
      <c r="AS48" t="e">
        <f>AND(#REF!,"AAAAAFfr7yw=")</f>
        <v>#REF!</v>
      </c>
      <c r="AT48" t="e">
        <f>AND(#REF!,"AAAAAFfr7y0=")</f>
        <v>#REF!</v>
      </c>
      <c r="AU48" t="e">
        <f>AND(#REF!,"AAAAAFfr7y4=")</f>
        <v>#REF!</v>
      </c>
      <c r="AV48" t="e">
        <f>AND(#REF!,"AAAAAFfr7y8=")</f>
        <v>#REF!</v>
      </c>
      <c r="AW48" t="e">
        <f>AND(#REF!,"AAAAAFfr7zA=")</f>
        <v>#REF!</v>
      </c>
      <c r="AX48" t="e">
        <f>AND(#REF!,"AAAAAFfr7zE=")</f>
        <v>#REF!</v>
      </c>
      <c r="AY48" t="e">
        <f>IF(#REF!,"AAAAAFfr7zI=",0)</f>
        <v>#REF!</v>
      </c>
      <c r="AZ48" t="e">
        <f>AND(#REF!,"AAAAAFfr7zM=")</f>
        <v>#REF!</v>
      </c>
      <c r="BA48" t="e">
        <f>AND(#REF!,"AAAAAFfr7zQ=")</f>
        <v>#REF!</v>
      </c>
      <c r="BB48" t="e">
        <f>AND(#REF!,"AAAAAFfr7zU=")</f>
        <v>#REF!</v>
      </c>
      <c r="BC48" t="e">
        <f>AND(#REF!,"AAAAAFfr7zY=")</f>
        <v>#REF!</v>
      </c>
      <c r="BD48" t="e">
        <f>AND(#REF!,"AAAAAFfr7zc=")</f>
        <v>#REF!</v>
      </c>
      <c r="BE48" t="e">
        <f>AND(#REF!,"AAAAAFfr7zg=")</f>
        <v>#REF!</v>
      </c>
      <c r="BF48" t="e">
        <f>AND(#REF!,"AAAAAFfr7zk=")</f>
        <v>#REF!</v>
      </c>
      <c r="BG48" t="e">
        <f>AND(#REF!,"AAAAAFfr7zo=")</f>
        <v>#REF!</v>
      </c>
      <c r="BH48" t="e">
        <f>AND(#REF!,"AAAAAFfr7zs=")</f>
        <v>#REF!</v>
      </c>
      <c r="BI48" t="e">
        <f>AND(#REF!,"AAAAAFfr7zw=")</f>
        <v>#REF!</v>
      </c>
      <c r="BJ48" t="e">
        <f>AND(#REF!,"AAAAAFfr7z0=")</f>
        <v>#REF!</v>
      </c>
      <c r="BK48" t="e">
        <f>AND(#REF!,"AAAAAFfr7z4=")</f>
        <v>#REF!</v>
      </c>
      <c r="BL48" t="e">
        <f>AND(#REF!,"AAAAAFfr7z8=")</f>
        <v>#REF!</v>
      </c>
      <c r="BM48" t="e">
        <f>AND(#REF!,"AAAAAFfr70A=")</f>
        <v>#REF!</v>
      </c>
      <c r="BN48" t="e">
        <f>AND(#REF!,"AAAAAFfr70E=")</f>
        <v>#REF!</v>
      </c>
      <c r="BO48" t="e">
        <f>AND(#REF!,"AAAAAFfr70I=")</f>
        <v>#REF!</v>
      </c>
      <c r="BP48" t="e">
        <f>AND(#REF!,"AAAAAFfr70M=")</f>
        <v>#REF!</v>
      </c>
      <c r="BQ48" t="e">
        <f>AND(#REF!,"AAAAAFfr70Q=")</f>
        <v>#REF!</v>
      </c>
      <c r="BR48" t="e">
        <f>AND(#REF!,"AAAAAFfr70U=")</f>
        <v>#REF!</v>
      </c>
      <c r="BS48" t="e">
        <f>AND(#REF!,"AAAAAFfr70Y=")</f>
        <v>#REF!</v>
      </c>
      <c r="BT48" t="e">
        <f>AND(#REF!,"AAAAAFfr70c=")</f>
        <v>#REF!</v>
      </c>
      <c r="BU48" t="e">
        <f>AND(#REF!,"AAAAAFfr70g=")</f>
        <v>#REF!</v>
      </c>
      <c r="BV48" t="e">
        <f>AND(#REF!,"AAAAAFfr70k=")</f>
        <v>#REF!</v>
      </c>
      <c r="BW48" t="e">
        <f>AND(#REF!,"AAAAAFfr70o=")</f>
        <v>#REF!</v>
      </c>
      <c r="BX48" t="e">
        <f>IF(#REF!,"AAAAAFfr70s=",0)</f>
        <v>#REF!</v>
      </c>
      <c r="BY48" t="e">
        <f>AND(#REF!,"AAAAAFfr70w=")</f>
        <v>#REF!</v>
      </c>
      <c r="BZ48" t="e">
        <f>AND(#REF!,"AAAAAFfr700=")</f>
        <v>#REF!</v>
      </c>
      <c r="CA48" t="e">
        <f>AND(#REF!,"AAAAAFfr704=")</f>
        <v>#REF!</v>
      </c>
      <c r="CB48" t="e">
        <f>AND(#REF!,"AAAAAFfr708=")</f>
        <v>#REF!</v>
      </c>
      <c r="CC48" t="e">
        <f>AND(#REF!,"AAAAAFfr71A=")</f>
        <v>#REF!</v>
      </c>
      <c r="CD48" t="e">
        <f>AND(#REF!,"AAAAAFfr71E=")</f>
        <v>#REF!</v>
      </c>
      <c r="CE48" t="e">
        <f>AND(#REF!,"AAAAAFfr71I=")</f>
        <v>#REF!</v>
      </c>
      <c r="CF48" t="e">
        <f>AND(#REF!,"AAAAAFfr71M=")</f>
        <v>#REF!</v>
      </c>
      <c r="CG48" t="e">
        <f>AND(#REF!,"AAAAAFfr71Q=")</f>
        <v>#REF!</v>
      </c>
      <c r="CH48" t="e">
        <f>AND(#REF!,"AAAAAFfr71U=")</f>
        <v>#REF!</v>
      </c>
      <c r="CI48" t="e">
        <f>AND(#REF!,"AAAAAFfr71Y=")</f>
        <v>#REF!</v>
      </c>
      <c r="CJ48" t="e">
        <f>AND(#REF!,"AAAAAFfr71c=")</f>
        <v>#REF!</v>
      </c>
      <c r="CK48" t="e">
        <f>AND(#REF!,"AAAAAFfr71g=")</f>
        <v>#REF!</v>
      </c>
      <c r="CL48" t="e">
        <f>AND(#REF!,"AAAAAFfr71k=")</f>
        <v>#REF!</v>
      </c>
      <c r="CM48" t="e">
        <f>AND(#REF!,"AAAAAFfr71o=")</f>
        <v>#REF!</v>
      </c>
      <c r="CN48" t="e">
        <f>AND(#REF!,"AAAAAFfr71s=")</f>
        <v>#REF!</v>
      </c>
      <c r="CO48" t="e">
        <f>AND(#REF!,"AAAAAFfr71w=")</f>
        <v>#REF!</v>
      </c>
      <c r="CP48" t="e">
        <f>AND(#REF!,"AAAAAFfr710=")</f>
        <v>#REF!</v>
      </c>
      <c r="CQ48" t="e">
        <f>AND(#REF!,"AAAAAFfr714=")</f>
        <v>#REF!</v>
      </c>
      <c r="CR48" t="e">
        <f>AND(#REF!,"AAAAAFfr718=")</f>
        <v>#REF!</v>
      </c>
      <c r="CS48" t="e">
        <f>AND(#REF!,"AAAAAFfr72A=")</f>
        <v>#REF!</v>
      </c>
      <c r="CT48" t="e">
        <f>AND(#REF!,"AAAAAFfr72E=")</f>
        <v>#REF!</v>
      </c>
      <c r="CU48" t="e">
        <f>AND(#REF!,"AAAAAFfr72I=")</f>
        <v>#REF!</v>
      </c>
      <c r="CV48" t="e">
        <f>AND(#REF!,"AAAAAFfr72M=")</f>
        <v>#REF!</v>
      </c>
      <c r="CW48" t="e">
        <f>IF(#REF!,"AAAAAFfr72Q=",0)</f>
        <v>#REF!</v>
      </c>
      <c r="CX48" t="e">
        <f>AND(#REF!,"AAAAAFfr72U=")</f>
        <v>#REF!</v>
      </c>
      <c r="CY48" t="e">
        <f>AND(#REF!,"AAAAAFfr72Y=")</f>
        <v>#REF!</v>
      </c>
      <c r="CZ48" t="e">
        <f>AND(#REF!,"AAAAAFfr72c=")</f>
        <v>#REF!</v>
      </c>
      <c r="DA48" t="e">
        <f>AND(#REF!,"AAAAAFfr72g=")</f>
        <v>#REF!</v>
      </c>
      <c r="DB48" t="e">
        <f>AND(#REF!,"AAAAAFfr72k=")</f>
        <v>#REF!</v>
      </c>
      <c r="DC48" t="e">
        <f>AND(#REF!,"AAAAAFfr72o=")</f>
        <v>#REF!</v>
      </c>
      <c r="DD48" t="e">
        <f>AND(#REF!,"AAAAAFfr72s=")</f>
        <v>#REF!</v>
      </c>
      <c r="DE48" t="e">
        <f>AND(#REF!,"AAAAAFfr72w=")</f>
        <v>#REF!</v>
      </c>
      <c r="DF48" t="e">
        <f>AND(#REF!,"AAAAAFfr720=")</f>
        <v>#REF!</v>
      </c>
      <c r="DG48" t="e">
        <f>AND(#REF!,"AAAAAFfr724=")</f>
        <v>#REF!</v>
      </c>
      <c r="DH48" t="e">
        <f>AND(#REF!,"AAAAAFfr728=")</f>
        <v>#REF!</v>
      </c>
      <c r="DI48" t="e">
        <f>AND(#REF!,"AAAAAFfr73A=")</f>
        <v>#REF!</v>
      </c>
      <c r="DJ48" t="e">
        <f>AND(#REF!,"AAAAAFfr73E=")</f>
        <v>#REF!</v>
      </c>
      <c r="DK48" t="e">
        <f>AND(#REF!,"AAAAAFfr73I=")</f>
        <v>#REF!</v>
      </c>
      <c r="DL48" t="e">
        <f>AND(#REF!,"AAAAAFfr73M=")</f>
        <v>#REF!</v>
      </c>
      <c r="DM48" t="e">
        <f>AND(#REF!,"AAAAAFfr73Q=")</f>
        <v>#REF!</v>
      </c>
      <c r="DN48" t="e">
        <f>AND(#REF!,"AAAAAFfr73U=")</f>
        <v>#REF!</v>
      </c>
      <c r="DO48" t="e">
        <f>AND(#REF!,"AAAAAFfr73Y=")</f>
        <v>#REF!</v>
      </c>
      <c r="DP48" t="e">
        <f>AND(#REF!,"AAAAAFfr73c=")</f>
        <v>#REF!</v>
      </c>
      <c r="DQ48" t="e">
        <f>AND(#REF!,"AAAAAFfr73g=")</f>
        <v>#REF!</v>
      </c>
      <c r="DR48" t="e">
        <f>AND(#REF!,"AAAAAFfr73k=")</f>
        <v>#REF!</v>
      </c>
      <c r="DS48" t="e">
        <f>AND(#REF!,"AAAAAFfr73o=")</f>
        <v>#REF!</v>
      </c>
      <c r="DT48" t="e">
        <f>AND(#REF!,"AAAAAFfr73s=")</f>
        <v>#REF!</v>
      </c>
      <c r="DU48" t="e">
        <f>AND(#REF!,"AAAAAFfr73w=")</f>
        <v>#REF!</v>
      </c>
      <c r="DV48" t="e">
        <f>IF(#REF!,"AAAAAFfr730=",0)</f>
        <v>#REF!</v>
      </c>
      <c r="DW48" t="e">
        <f>AND(#REF!,"AAAAAFfr734=")</f>
        <v>#REF!</v>
      </c>
      <c r="DX48" t="e">
        <f>AND(#REF!,"AAAAAFfr738=")</f>
        <v>#REF!</v>
      </c>
      <c r="DY48" t="e">
        <f>AND(#REF!,"AAAAAFfr74A=")</f>
        <v>#REF!</v>
      </c>
      <c r="DZ48" t="e">
        <f>AND(#REF!,"AAAAAFfr74E=")</f>
        <v>#REF!</v>
      </c>
      <c r="EA48" t="e">
        <f>AND(#REF!,"AAAAAFfr74I=")</f>
        <v>#REF!</v>
      </c>
      <c r="EB48" t="e">
        <f>AND(#REF!,"AAAAAFfr74M=")</f>
        <v>#REF!</v>
      </c>
      <c r="EC48" t="e">
        <f>AND(#REF!,"AAAAAFfr74Q=")</f>
        <v>#REF!</v>
      </c>
      <c r="ED48" t="e">
        <f>AND(#REF!,"AAAAAFfr74U=")</f>
        <v>#REF!</v>
      </c>
      <c r="EE48" t="e">
        <f>AND(#REF!,"AAAAAFfr74Y=")</f>
        <v>#REF!</v>
      </c>
      <c r="EF48" t="e">
        <f>AND(#REF!,"AAAAAFfr74c=")</f>
        <v>#REF!</v>
      </c>
      <c r="EG48" t="e">
        <f>AND(#REF!,"AAAAAFfr74g=")</f>
        <v>#REF!</v>
      </c>
      <c r="EH48" t="e">
        <f>AND(#REF!,"AAAAAFfr74k=")</f>
        <v>#REF!</v>
      </c>
      <c r="EI48" t="e">
        <f>AND(#REF!,"AAAAAFfr74o=")</f>
        <v>#REF!</v>
      </c>
      <c r="EJ48" t="e">
        <f>AND(#REF!,"AAAAAFfr74s=")</f>
        <v>#REF!</v>
      </c>
      <c r="EK48" t="e">
        <f>AND(#REF!,"AAAAAFfr74w=")</f>
        <v>#REF!</v>
      </c>
      <c r="EL48" t="e">
        <f>AND(#REF!,"AAAAAFfr740=")</f>
        <v>#REF!</v>
      </c>
      <c r="EM48" t="e">
        <f>AND(#REF!,"AAAAAFfr744=")</f>
        <v>#REF!</v>
      </c>
      <c r="EN48" t="e">
        <f>AND(#REF!,"AAAAAFfr748=")</f>
        <v>#REF!</v>
      </c>
      <c r="EO48" t="e">
        <f>AND(#REF!,"AAAAAFfr75A=")</f>
        <v>#REF!</v>
      </c>
      <c r="EP48" t="e">
        <f>AND(#REF!,"AAAAAFfr75E=")</f>
        <v>#REF!</v>
      </c>
      <c r="EQ48" t="e">
        <f>AND(#REF!,"AAAAAFfr75I=")</f>
        <v>#REF!</v>
      </c>
      <c r="ER48" t="e">
        <f>AND(#REF!,"AAAAAFfr75M=")</f>
        <v>#REF!</v>
      </c>
      <c r="ES48" t="e">
        <f>AND(#REF!,"AAAAAFfr75Q=")</f>
        <v>#REF!</v>
      </c>
      <c r="ET48" t="e">
        <f>AND(#REF!,"AAAAAFfr75U=")</f>
        <v>#REF!</v>
      </c>
      <c r="EU48" t="e">
        <f>IF(#REF!,"AAAAAFfr75Y=",0)</f>
        <v>#REF!</v>
      </c>
      <c r="EV48" t="e">
        <f>AND(#REF!,"AAAAAFfr75c=")</f>
        <v>#REF!</v>
      </c>
      <c r="EW48" t="e">
        <f>AND(#REF!,"AAAAAFfr75g=")</f>
        <v>#REF!</v>
      </c>
      <c r="EX48" t="e">
        <f>AND(#REF!,"AAAAAFfr75k=")</f>
        <v>#REF!</v>
      </c>
      <c r="EY48" t="e">
        <f>AND(#REF!,"AAAAAFfr75o=")</f>
        <v>#REF!</v>
      </c>
      <c r="EZ48" t="e">
        <f>AND(#REF!,"AAAAAFfr75s=")</f>
        <v>#REF!</v>
      </c>
      <c r="FA48" t="e">
        <f>AND(#REF!,"AAAAAFfr75w=")</f>
        <v>#REF!</v>
      </c>
      <c r="FB48" t="e">
        <f>AND(#REF!,"AAAAAFfr750=")</f>
        <v>#REF!</v>
      </c>
      <c r="FC48" t="e">
        <f>AND(#REF!,"AAAAAFfr754=")</f>
        <v>#REF!</v>
      </c>
      <c r="FD48" t="e">
        <f>AND(#REF!,"AAAAAFfr758=")</f>
        <v>#REF!</v>
      </c>
      <c r="FE48" t="e">
        <f>AND(#REF!,"AAAAAFfr76A=")</f>
        <v>#REF!</v>
      </c>
      <c r="FF48" t="e">
        <f>AND(#REF!,"AAAAAFfr76E=")</f>
        <v>#REF!</v>
      </c>
      <c r="FG48" t="e">
        <f>AND(#REF!,"AAAAAFfr76I=")</f>
        <v>#REF!</v>
      </c>
      <c r="FH48" t="e">
        <f>AND(#REF!,"AAAAAFfr76M=")</f>
        <v>#REF!</v>
      </c>
      <c r="FI48" t="e">
        <f>AND(#REF!,"AAAAAFfr76Q=")</f>
        <v>#REF!</v>
      </c>
      <c r="FJ48" t="e">
        <f>AND(#REF!,"AAAAAFfr76U=")</f>
        <v>#REF!</v>
      </c>
      <c r="FK48" t="e">
        <f>AND(#REF!,"AAAAAFfr76Y=")</f>
        <v>#REF!</v>
      </c>
      <c r="FL48" t="e">
        <f>AND(#REF!,"AAAAAFfr76c=")</f>
        <v>#REF!</v>
      </c>
      <c r="FM48" t="e">
        <f>AND(#REF!,"AAAAAFfr76g=")</f>
        <v>#REF!</v>
      </c>
      <c r="FN48" t="e">
        <f>AND(#REF!,"AAAAAFfr76k=")</f>
        <v>#REF!</v>
      </c>
      <c r="FO48" t="e">
        <f>AND(#REF!,"AAAAAFfr76o=")</f>
        <v>#REF!</v>
      </c>
      <c r="FP48" t="e">
        <f>AND(#REF!,"AAAAAFfr76s=")</f>
        <v>#REF!</v>
      </c>
      <c r="FQ48" t="e">
        <f>AND(#REF!,"AAAAAFfr76w=")</f>
        <v>#REF!</v>
      </c>
      <c r="FR48" t="e">
        <f>AND(#REF!,"AAAAAFfr760=")</f>
        <v>#REF!</v>
      </c>
      <c r="FS48" t="e">
        <f>AND(#REF!,"AAAAAFfr764=")</f>
        <v>#REF!</v>
      </c>
      <c r="FT48" t="e">
        <f>IF(#REF!,"AAAAAFfr768=",0)</f>
        <v>#REF!</v>
      </c>
      <c r="FU48" t="e">
        <f>AND(#REF!,"AAAAAFfr77A=")</f>
        <v>#REF!</v>
      </c>
      <c r="FV48" t="e">
        <f>AND(#REF!,"AAAAAFfr77E=")</f>
        <v>#REF!</v>
      </c>
      <c r="FW48" t="e">
        <f>AND(#REF!,"AAAAAFfr77I=")</f>
        <v>#REF!</v>
      </c>
      <c r="FX48" t="e">
        <f>AND(#REF!,"AAAAAFfr77M=")</f>
        <v>#REF!</v>
      </c>
      <c r="FY48" t="e">
        <f>AND(#REF!,"AAAAAFfr77Q=")</f>
        <v>#REF!</v>
      </c>
      <c r="FZ48" t="e">
        <f>AND(#REF!,"AAAAAFfr77U=")</f>
        <v>#REF!</v>
      </c>
      <c r="GA48" t="e">
        <f>AND(#REF!,"AAAAAFfr77Y=")</f>
        <v>#REF!</v>
      </c>
      <c r="GB48" t="e">
        <f>AND(#REF!,"AAAAAFfr77c=")</f>
        <v>#REF!</v>
      </c>
      <c r="GC48" t="e">
        <f>AND(#REF!,"AAAAAFfr77g=")</f>
        <v>#REF!</v>
      </c>
      <c r="GD48" t="e">
        <f>AND(#REF!,"AAAAAFfr77k=")</f>
        <v>#REF!</v>
      </c>
      <c r="GE48" t="e">
        <f>AND(#REF!,"AAAAAFfr77o=")</f>
        <v>#REF!</v>
      </c>
      <c r="GF48" t="e">
        <f>AND(#REF!,"AAAAAFfr77s=")</f>
        <v>#REF!</v>
      </c>
      <c r="GG48" t="e">
        <f>AND(#REF!,"AAAAAFfr77w=")</f>
        <v>#REF!</v>
      </c>
      <c r="GH48" t="e">
        <f>AND(#REF!,"AAAAAFfr770=")</f>
        <v>#REF!</v>
      </c>
      <c r="GI48" t="e">
        <f>AND(#REF!,"AAAAAFfr774=")</f>
        <v>#REF!</v>
      </c>
      <c r="GJ48" t="e">
        <f>AND(#REF!,"AAAAAFfr778=")</f>
        <v>#REF!</v>
      </c>
      <c r="GK48" t="e">
        <f>AND(#REF!,"AAAAAFfr78A=")</f>
        <v>#REF!</v>
      </c>
      <c r="GL48" t="e">
        <f>AND(#REF!,"AAAAAFfr78E=")</f>
        <v>#REF!</v>
      </c>
      <c r="GM48" t="e">
        <f>AND(#REF!,"AAAAAFfr78I=")</f>
        <v>#REF!</v>
      </c>
      <c r="GN48" t="e">
        <f>AND(#REF!,"AAAAAFfr78M=")</f>
        <v>#REF!</v>
      </c>
      <c r="GO48" t="e">
        <f>AND(#REF!,"AAAAAFfr78Q=")</f>
        <v>#REF!</v>
      </c>
      <c r="GP48" t="e">
        <f>AND(#REF!,"AAAAAFfr78U=")</f>
        <v>#REF!</v>
      </c>
      <c r="GQ48" t="e">
        <f>AND(#REF!,"AAAAAFfr78Y=")</f>
        <v>#REF!</v>
      </c>
      <c r="GR48" t="e">
        <f>AND(#REF!,"AAAAAFfr78c=")</f>
        <v>#REF!</v>
      </c>
      <c r="GS48" t="e">
        <f>IF(#REF!,"AAAAAFfr78g=",0)</f>
        <v>#REF!</v>
      </c>
      <c r="GT48" t="e">
        <f>AND(#REF!,"AAAAAFfr78k=")</f>
        <v>#REF!</v>
      </c>
      <c r="GU48" t="e">
        <f>AND(#REF!,"AAAAAFfr78o=")</f>
        <v>#REF!</v>
      </c>
      <c r="GV48" t="e">
        <f>AND(#REF!,"AAAAAFfr78s=")</f>
        <v>#REF!</v>
      </c>
      <c r="GW48" t="e">
        <f>AND(#REF!,"AAAAAFfr78w=")</f>
        <v>#REF!</v>
      </c>
      <c r="GX48" t="e">
        <f>AND(#REF!,"AAAAAFfr780=")</f>
        <v>#REF!</v>
      </c>
      <c r="GY48" t="e">
        <f>AND(#REF!,"AAAAAFfr784=")</f>
        <v>#REF!</v>
      </c>
      <c r="GZ48" t="e">
        <f>AND(#REF!,"AAAAAFfr788=")</f>
        <v>#REF!</v>
      </c>
      <c r="HA48" t="e">
        <f>AND(#REF!,"AAAAAFfr79A=")</f>
        <v>#REF!</v>
      </c>
      <c r="HB48" t="e">
        <f>AND(#REF!,"AAAAAFfr79E=")</f>
        <v>#REF!</v>
      </c>
      <c r="HC48" t="e">
        <f>AND(#REF!,"AAAAAFfr79I=")</f>
        <v>#REF!</v>
      </c>
      <c r="HD48" t="e">
        <f>AND(#REF!,"AAAAAFfr79M=")</f>
        <v>#REF!</v>
      </c>
      <c r="HE48" t="e">
        <f>AND(#REF!,"AAAAAFfr79Q=")</f>
        <v>#REF!</v>
      </c>
      <c r="HF48" t="e">
        <f>AND(#REF!,"AAAAAFfr79U=")</f>
        <v>#REF!</v>
      </c>
      <c r="HG48" t="e">
        <f>AND(#REF!,"AAAAAFfr79Y=")</f>
        <v>#REF!</v>
      </c>
      <c r="HH48" t="e">
        <f>AND(#REF!,"AAAAAFfr79c=")</f>
        <v>#REF!</v>
      </c>
      <c r="HI48" t="e">
        <f>AND(#REF!,"AAAAAFfr79g=")</f>
        <v>#REF!</v>
      </c>
      <c r="HJ48" t="e">
        <f>AND(#REF!,"AAAAAFfr79k=")</f>
        <v>#REF!</v>
      </c>
      <c r="HK48" t="e">
        <f>AND(#REF!,"AAAAAFfr79o=")</f>
        <v>#REF!</v>
      </c>
      <c r="HL48" t="e">
        <f>AND(#REF!,"AAAAAFfr79s=")</f>
        <v>#REF!</v>
      </c>
      <c r="HM48" t="e">
        <f>AND(#REF!,"AAAAAFfr79w=")</f>
        <v>#REF!</v>
      </c>
      <c r="HN48" t="e">
        <f>AND(#REF!,"AAAAAFfr790=")</f>
        <v>#REF!</v>
      </c>
      <c r="HO48" t="e">
        <f>AND(#REF!,"AAAAAFfr794=")</f>
        <v>#REF!</v>
      </c>
      <c r="HP48" t="e">
        <f>AND(#REF!,"AAAAAFfr798=")</f>
        <v>#REF!</v>
      </c>
      <c r="HQ48" t="e">
        <f>AND(#REF!,"AAAAAFfr7+A=")</f>
        <v>#REF!</v>
      </c>
      <c r="HR48" t="e">
        <f>IF(#REF!,"AAAAAFfr7+E=",0)</f>
        <v>#REF!</v>
      </c>
      <c r="HS48" t="e">
        <f>AND(#REF!,"AAAAAFfr7+I=")</f>
        <v>#REF!</v>
      </c>
      <c r="HT48" t="e">
        <f>AND(#REF!,"AAAAAFfr7+M=")</f>
        <v>#REF!</v>
      </c>
      <c r="HU48" t="e">
        <f>AND(#REF!,"AAAAAFfr7+Q=")</f>
        <v>#REF!</v>
      </c>
      <c r="HV48" t="e">
        <f>AND(#REF!,"AAAAAFfr7+U=")</f>
        <v>#REF!</v>
      </c>
      <c r="HW48" t="e">
        <f>AND(#REF!,"AAAAAFfr7+Y=")</f>
        <v>#REF!</v>
      </c>
      <c r="HX48" t="e">
        <f>AND(#REF!,"AAAAAFfr7+c=")</f>
        <v>#REF!</v>
      </c>
      <c r="HY48" t="e">
        <f>AND(#REF!,"AAAAAFfr7+g=")</f>
        <v>#REF!</v>
      </c>
      <c r="HZ48" t="e">
        <f>AND(#REF!,"AAAAAFfr7+k=")</f>
        <v>#REF!</v>
      </c>
      <c r="IA48" t="e">
        <f>AND(#REF!,"AAAAAFfr7+o=")</f>
        <v>#REF!</v>
      </c>
      <c r="IB48" t="e">
        <f>AND(#REF!,"AAAAAFfr7+s=")</f>
        <v>#REF!</v>
      </c>
      <c r="IC48" t="e">
        <f>AND(#REF!,"AAAAAFfr7+w=")</f>
        <v>#REF!</v>
      </c>
      <c r="ID48" t="e">
        <f>AND(#REF!,"AAAAAFfr7+0=")</f>
        <v>#REF!</v>
      </c>
      <c r="IE48" t="e">
        <f>AND(#REF!,"AAAAAFfr7+4=")</f>
        <v>#REF!</v>
      </c>
      <c r="IF48" t="e">
        <f>AND(#REF!,"AAAAAFfr7+8=")</f>
        <v>#REF!</v>
      </c>
      <c r="IG48" t="e">
        <f>AND(#REF!,"AAAAAFfr7/A=")</f>
        <v>#REF!</v>
      </c>
      <c r="IH48" t="e">
        <f>AND(#REF!,"AAAAAFfr7/E=")</f>
        <v>#REF!</v>
      </c>
      <c r="II48" t="e">
        <f>AND(#REF!,"AAAAAFfr7/I=")</f>
        <v>#REF!</v>
      </c>
      <c r="IJ48" t="e">
        <f>AND(#REF!,"AAAAAFfr7/M=")</f>
        <v>#REF!</v>
      </c>
      <c r="IK48" t="e">
        <f>AND(#REF!,"AAAAAFfr7/Q=")</f>
        <v>#REF!</v>
      </c>
      <c r="IL48" t="e">
        <f>AND(#REF!,"AAAAAFfr7/U=")</f>
        <v>#REF!</v>
      </c>
      <c r="IM48" t="e">
        <f>AND(#REF!,"AAAAAFfr7/Y=")</f>
        <v>#REF!</v>
      </c>
      <c r="IN48" t="e">
        <f>AND(#REF!,"AAAAAFfr7/c=")</f>
        <v>#REF!</v>
      </c>
      <c r="IO48" t="e">
        <f>AND(#REF!,"AAAAAFfr7/g=")</f>
        <v>#REF!</v>
      </c>
      <c r="IP48" t="e">
        <f>AND(#REF!,"AAAAAFfr7/k=")</f>
        <v>#REF!</v>
      </c>
      <c r="IQ48" t="e">
        <f>IF(#REF!,"AAAAAFfr7/o=",0)</f>
        <v>#REF!</v>
      </c>
      <c r="IR48" t="e">
        <f>AND(#REF!,"AAAAAFfr7/s=")</f>
        <v>#REF!</v>
      </c>
      <c r="IS48" t="e">
        <f>AND(#REF!,"AAAAAFfr7/w=")</f>
        <v>#REF!</v>
      </c>
      <c r="IT48" t="e">
        <f>AND(#REF!,"AAAAAFfr7/0=")</f>
        <v>#REF!</v>
      </c>
      <c r="IU48" t="e">
        <f>AND(#REF!,"AAAAAFfr7/4=")</f>
        <v>#REF!</v>
      </c>
      <c r="IV48" t="e">
        <f>AND(#REF!,"AAAAAFfr7/8=")</f>
        <v>#REF!</v>
      </c>
    </row>
    <row r="49" spans="1:256" x14ac:dyDescent="0.25">
      <c r="A49" t="e">
        <f>AND(#REF!,"AAAAAG9W0QA=")</f>
        <v>#REF!</v>
      </c>
      <c r="B49" t="e">
        <f>AND(#REF!,"AAAAAG9W0QE=")</f>
        <v>#REF!</v>
      </c>
      <c r="C49" t="e">
        <f>AND(#REF!,"AAAAAG9W0QI=")</f>
        <v>#REF!</v>
      </c>
      <c r="D49" t="e">
        <f>AND(#REF!,"AAAAAG9W0QM=")</f>
        <v>#REF!</v>
      </c>
      <c r="E49" t="e">
        <f>AND(#REF!,"AAAAAG9W0QQ=")</f>
        <v>#REF!</v>
      </c>
      <c r="F49" t="e">
        <f>AND(#REF!,"AAAAAG9W0QU=")</f>
        <v>#REF!</v>
      </c>
      <c r="G49" t="e">
        <f>AND(#REF!,"AAAAAG9W0QY=")</f>
        <v>#REF!</v>
      </c>
      <c r="H49" t="e">
        <f>AND(#REF!,"AAAAAG9W0Qc=")</f>
        <v>#REF!</v>
      </c>
      <c r="I49" t="e">
        <f>AND(#REF!,"AAAAAG9W0Qg=")</f>
        <v>#REF!</v>
      </c>
      <c r="J49" t="e">
        <f>AND(#REF!,"AAAAAG9W0Qk=")</f>
        <v>#REF!</v>
      </c>
      <c r="K49" t="e">
        <f>AND(#REF!,"AAAAAG9W0Qo=")</f>
        <v>#REF!</v>
      </c>
      <c r="L49" t="e">
        <f>AND(#REF!,"AAAAAG9W0Qs=")</f>
        <v>#REF!</v>
      </c>
      <c r="M49" t="e">
        <f>AND(#REF!,"AAAAAG9W0Qw=")</f>
        <v>#REF!</v>
      </c>
      <c r="N49" t="e">
        <f>AND(#REF!,"AAAAAG9W0Q0=")</f>
        <v>#REF!</v>
      </c>
      <c r="O49" t="e">
        <f>AND(#REF!,"AAAAAG9W0Q4=")</f>
        <v>#REF!</v>
      </c>
      <c r="P49" t="e">
        <f>AND(#REF!,"AAAAAG9W0Q8=")</f>
        <v>#REF!</v>
      </c>
      <c r="Q49" t="e">
        <f>AND(#REF!,"AAAAAG9W0RA=")</f>
        <v>#REF!</v>
      </c>
      <c r="R49" t="e">
        <f>AND(#REF!,"AAAAAG9W0RE=")</f>
        <v>#REF!</v>
      </c>
      <c r="S49" t="e">
        <f>AND(#REF!,"AAAAAG9W0RI=")</f>
        <v>#REF!</v>
      </c>
      <c r="T49" t="e">
        <f>IF(#REF!,"AAAAAG9W0RM=",0)</f>
        <v>#REF!</v>
      </c>
      <c r="U49" t="e">
        <f>AND(#REF!,"AAAAAG9W0RQ=")</f>
        <v>#REF!</v>
      </c>
      <c r="V49" t="e">
        <f>AND(#REF!,"AAAAAG9W0RU=")</f>
        <v>#REF!</v>
      </c>
      <c r="W49" t="e">
        <f>AND(#REF!,"AAAAAG9W0RY=")</f>
        <v>#REF!</v>
      </c>
      <c r="X49" t="e">
        <f>AND(#REF!,"AAAAAG9W0Rc=")</f>
        <v>#REF!</v>
      </c>
      <c r="Y49" t="e">
        <f>AND(#REF!,"AAAAAG9W0Rg=")</f>
        <v>#REF!</v>
      </c>
      <c r="Z49" t="e">
        <f>AND(#REF!,"AAAAAG9W0Rk=")</f>
        <v>#REF!</v>
      </c>
      <c r="AA49" t="e">
        <f>AND(#REF!,"AAAAAG9W0Ro=")</f>
        <v>#REF!</v>
      </c>
      <c r="AB49" t="e">
        <f>AND(#REF!,"AAAAAG9W0Rs=")</f>
        <v>#REF!</v>
      </c>
      <c r="AC49" t="e">
        <f>AND(#REF!,"AAAAAG9W0Rw=")</f>
        <v>#REF!</v>
      </c>
      <c r="AD49" t="e">
        <f>AND(#REF!,"AAAAAG9W0R0=")</f>
        <v>#REF!</v>
      </c>
      <c r="AE49" t="e">
        <f>AND(#REF!,"AAAAAG9W0R4=")</f>
        <v>#REF!</v>
      </c>
      <c r="AF49" t="e">
        <f>AND(#REF!,"AAAAAG9W0R8=")</f>
        <v>#REF!</v>
      </c>
      <c r="AG49" t="e">
        <f>AND(#REF!,"AAAAAG9W0SA=")</f>
        <v>#REF!</v>
      </c>
      <c r="AH49" t="e">
        <f>AND(#REF!,"AAAAAG9W0SE=")</f>
        <v>#REF!</v>
      </c>
      <c r="AI49" t="e">
        <f>AND(#REF!,"AAAAAG9W0SI=")</f>
        <v>#REF!</v>
      </c>
      <c r="AJ49" t="e">
        <f>AND(#REF!,"AAAAAG9W0SM=")</f>
        <v>#REF!</v>
      </c>
      <c r="AK49" t="e">
        <f>AND(#REF!,"AAAAAG9W0SQ=")</f>
        <v>#REF!</v>
      </c>
      <c r="AL49" t="e">
        <f>AND(#REF!,"AAAAAG9W0SU=")</f>
        <v>#REF!</v>
      </c>
      <c r="AM49" t="e">
        <f>AND(#REF!,"AAAAAG9W0SY=")</f>
        <v>#REF!</v>
      </c>
      <c r="AN49" t="e">
        <f>AND(#REF!,"AAAAAG9W0Sc=")</f>
        <v>#REF!</v>
      </c>
      <c r="AO49" t="e">
        <f>AND(#REF!,"AAAAAG9W0Sg=")</f>
        <v>#REF!</v>
      </c>
      <c r="AP49" t="e">
        <f>AND(#REF!,"AAAAAG9W0Sk=")</f>
        <v>#REF!</v>
      </c>
      <c r="AQ49" t="e">
        <f>AND(#REF!,"AAAAAG9W0So=")</f>
        <v>#REF!</v>
      </c>
      <c r="AR49" t="e">
        <f>AND(#REF!,"AAAAAG9W0Ss=")</f>
        <v>#REF!</v>
      </c>
      <c r="AS49" t="e">
        <f>IF(#REF!,"AAAAAG9W0Sw=",0)</f>
        <v>#REF!</v>
      </c>
      <c r="AT49" t="e">
        <f>AND(#REF!,"AAAAAG9W0S0=")</f>
        <v>#REF!</v>
      </c>
      <c r="AU49" t="e">
        <f>AND(#REF!,"AAAAAG9W0S4=")</f>
        <v>#REF!</v>
      </c>
      <c r="AV49" t="e">
        <f>AND(#REF!,"AAAAAG9W0S8=")</f>
        <v>#REF!</v>
      </c>
      <c r="AW49" t="e">
        <f>AND(#REF!,"AAAAAG9W0TA=")</f>
        <v>#REF!</v>
      </c>
      <c r="AX49" t="e">
        <f>AND(#REF!,"AAAAAG9W0TE=")</f>
        <v>#REF!</v>
      </c>
      <c r="AY49" t="e">
        <f>AND(#REF!,"AAAAAG9W0TI=")</f>
        <v>#REF!</v>
      </c>
      <c r="AZ49" t="e">
        <f>AND(#REF!,"AAAAAG9W0TM=")</f>
        <v>#REF!</v>
      </c>
      <c r="BA49" t="e">
        <f>AND(#REF!,"AAAAAG9W0TQ=")</f>
        <v>#REF!</v>
      </c>
      <c r="BB49" t="e">
        <f>AND(#REF!,"AAAAAG9W0TU=")</f>
        <v>#REF!</v>
      </c>
      <c r="BC49" t="e">
        <f>AND(#REF!,"AAAAAG9W0TY=")</f>
        <v>#REF!</v>
      </c>
      <c r="BD49" t="e">
        <f>AND(#REF!,"AAAAAG9W0Tc=")</f>
        <v>#REF!</v>
      </c>
      <c r="BE49" t="e">
        <f>AND(#REF!,"AAAAAG9W0Tg=")</f>
        <v>#REF!</v>
      </c>
      <c r="BF49" t="e">
        <f>AND(#REF!,"AAAAAG9W0Tk=")</f>
        <v>#REF!</v>
      </c>
      <c r="BG49" t="e">
        <f>AND(#REF!,"AAAAAG9W0To=")</f>
        <v>#REF!</v>
      </c>
      <c r="BH49" t="e">
        <f>AND(#REF!,"AAAAAG9W0Ts=")</f>
        <v>#REF!</v>
      </c>
      <c r="BI49" t="e">
        <f>AND(#REF!,"AAAAAG9W0Tw=")</f>
        <v>#REF!</v>
      </c>
      <c r="BJ49" t="e">
        <f>AND(#REF!,"AAAAAG9W0T0=")</f>
        <v>#REF!</v>
      </c>
      <c r="BK49" t="e">
        <f>AND(#REF!,"AAAAAG9W0T4=")</f>
        <v>#REF!</v>
      </c>
      <c r="BL49" t="e">
        <f>AND(#REF!,"AAAAAG9W0T8=")</f>
        <v>#REF!</v>
      </c>
      <c r="BM49" t="e">
        <f>AND(#REF!,"AAAAAG9W0UA=")</f>
        <v>#REF!</v>
      </c>
      <c r="BN49" t="e">
        <f>AND(#REF!,"AAAAAG9W0UE=")</f>
        <v>#REF!</v>
      </c>
      <c r="BO49" t="e">
        <f>AND(#REF!,"AAAAAG9W0UI=")</f>
        <v>#REF!</v>
      </c>
      <c r="BP49" t="e">
        <f>AND(#REF!,"AAAAAG9W0UM=")</f>
        <v>#REF!</v>
      </c>
      <c r="BQ49" t="e">
        <f>AND(#REF!,"AAAAAG9W0UQ=")</f>
        <v>#REF!</v>
      </c>
      <c r="BR49" t="e">
        <f>IF(#REF!,"AAAAAG9W0UU=",0)</f>
        <v>#REF!</v>
      </c>
      <c r="BS49" t="e">
        <f>AND(#REF!,"AAAAAG9W0UY=")</f>
        <v>#REF!</v>
      </c>
      <c r="BT49" t="e">
        <f>AND(#REF!,"AAAAAG9W0Uc=")</f>
        <v>#REF!</v>
      </c>
      <c r="BU49" t="e">
        <f>AND(#REF!,"AAAAAG9W0Ug=")</f>
        <v>#REF!</v>
      </c>
      <c r="BV49" t="e">
        <f>AND(#REF!,"AAAAAG9W0Uk=")</f>
        <v>#REF!</v>
      </c>
      <c r="BW49" t="e">
        <f>AND(#REF!,"AAAAAG9W0Uo=")</f>
        <v>#REF!</v>
      </c>
      <c r="BX49" t="e">
        <f>AND(#REF!,"AAAAAG9W0Us=")</f>
        <v>#REF!</v>
      </c>
      <c r="BY49" t="e">
        <f>AND(#REF!,"AAAAAG9W0Uw=")</f>
        <v>#REF!</v>
      </c>
      <c r="BZ49" t="e">
        <f>AND(#REF!,"AAAAAG9W0U0=")</f>
        <v>#REF!</v>
      </c>
      <c r="CA49" t="e">
        <f>AND(#REF!,"AAAAAG9W0U4=")</f>
        <v>#REF!</v>
      </c>
      <c r="CB49" t="e">
        <f>AND(#REF!,"AAAAAG9W0U8=")</f>
        <v>#REF!</v>
      </c>
      <c r="CC49" t="e">
        <f>AND(#REF!,"AAAAAG9W0VA=")</f>
        <v>#REF!</v>
      </c>
      <c r="CD49" t="e">
        <f>AND(#REF!,"AAAAAG9W0VE=")</f>
        <v>#REF!</v>
      </c>
      <c r="CE49" t="e">
        <f>AND(#REF!,"AAAAAG9W0VI=")</f>
        <v>#REF!</v>
      </c>
      <c r="CF49" t="e">
        <f>AND(#REF!,"AAAAAG9W0VM=")</f>
        <v>#REF!</v>
      </c>
      <c r="CG49" t="e">
        <f>AND(#REF!,"AAAAAG9W0VQ=")</f>
        <v>#REF!</v>
      </c>
      <c r="CH49" t="e">
        <f>AND(#REF!,"AAAAAG9W0VU=")</f>
        <v>#REF!</v>
      </c>
      <c r="CI49" t="e">
        <f>AND(#REF!,"AAAAAG9W0VY=")</f>
        <v>#REF!</v>
      </c>
      <c r="CJ49" t="e">
        <f>AND(#REF!,"AAAAAG9W0Vc=")</f>
        <v>#REF!</v>
      </c>
      <c r="CK49" t="e">
        <f>AND(#REF!,"AAAAAG9W0Vg=")</f>
        <v>#REF!</v>
      </c>
      <c r="CL49" t="e">
        <f>AND(#REF!,"AAAAAG9W0Vk=")</f>
        <v>#REF!</v>
      </c>
      <c r="CM49" t="e">
        <f>AND(#REF!,"AAAAAG9W0Vo=")</f>
        <v>#REF!</v>
      </c>
      <c r="CN49" t="e">
        <f>AND(#REF!,"AAAAAG9W0Vs=")</f>
        <v>#REF!</v>
      </c>
      <c r="CO49" t="e">
        <f>AND(#REF!,"AAAAAG9W0Vw=")</f>
        <v>#REF!</v>
      </c>
      <c r="CP49" t="e">
        <f>AND(#REF!,"AAAAAG9W0V0=")</f>
        <v>#REF!</v>
      </c>
      <c r="CQ49" t="e">
        <f>IF(#REF!,"AAAAAG9W0V4=",0)</f>
        <v>#REF!</v>
      </c>
      <c r="CR49" t="e">
        <f>AND(#REF!,"AAAAAG9W0V8=")</f>
        <v>#REF!</v>
      </c>
      <c r="CS49" t="e">
        <f>AND(#REF!,"AAAAAG9W0WA=")</f>
        <v>#REF!</v>
      </c>
      <c r="CT49" t="e">
        <f>AND(#REF!,"AAAAAG9W0WE=")</f>
        <v>#REF!</v>
      </c>
      <c r="CU49" t="e">
        <f>AND(#REF!,"AAAAAG9W0WI=")</f>
        <v>#REF!</v>
      </c>
      <c r="CV49" t="e">
        <f>AND(#REF!,"AAAAAG9W0WM=")</f>
        <v>#REF!</v>
      </c>
      <c r="CW49" t="e">
        <f>AND(#REF!,"AAAAAG9W0WQ=")</f>
        <v>#REF!</v>
      </c>
      <c r="CX49" t="e">
        <f>AND(#REF!,"AAAAAG9W0WU=")</f>
        <v>#REF!</v>
      </c>
      <c r="CY49" t="e">
        <f>AND(#REF!,"AAAAAG9W0WY=")</f>
        <v>#REF!</v>
      </c>
      <c r="CZ49" t="e">
        <f>AND(#REF!,"AAAAAG9W0Wc=")</f>
        <v>#REF!</v>
      </c>
      <c r="DA49" t="e">
        <f>AND(#REF!,"AAAAAG9W0Wg=")</f>
        <v>#REF!</v>
      </c>
      <c r="DB49" t="e">
        <f>AND(#REF!,"AAAAAG9W0Wk=")</f>
        <v>#REF!</v>
      </c>
      <c r="DC49" t="e">
        <f>AND(#REF!,"AAAAAG9W0Wo=")</f>
        <v>#REF!</v>
      </c>
      <c r="DD49" t="e">
        <f>AND(#REF!,"AAAAAG9W0Ws=")</f>
        <v>#REF!</v>
      </c>
      <c r="DE49" t="e">
        <f>AND(#REF!,"AAAAAG9W0Ww=")</f>
        <v>#REF!</v>
      </c>
      <c r="DF49" t="e">
        <f>AND(#REF!,"AAAAAG9W0W0=")</f>
        <v>#REF!</v>
      </c>
      <c r="DG49" t="e">
        <f>AND(#REF!,"AAAAAG9W0W4=")</f>
        <v>#REF!</v>
      </c>
      <c r="DH49" t="e">
        <f>AND(#REF!,"AAAAAG9W0W8=")</f>
        <v>#REF!</v>
      </c>
      <c r="DI49" t="e">
        <f>AND(#REF!,"AAAAAG9W0XA=")</f>
        <v>#REF!</v>
      </c>
      <c r="DJ49" t="e">
        <f>AND(#REF!,"AAAAAG9W0XE=")</f>
        <v>#REF!</v>
      </c>
      <c r="DK49" t="e">
        <f>AND(#REF!,"AAAAAG9W0XI=")</f>
        <v>#REF!</v>
      </c>
      <c r="DL49" t="e">
        <f>AND(#REF!,"AAAAAG9W0XM=")</f>
        <v>#REF!</v>
      </c>
      <c r="DM49" t="e">
        <f>AND(#REF!,"AAAAAG9W0XQ=")</f>
        <v>#REF!</v>
      </c>
      <c r="DN49" t="e">
        <f>AND(#REF!,"AAAAAG9W0XU=")</f>
        <v>#REF!</v>
      </c>
      <c r="DO49" t="e">
        <f>AND(#REF!,"AAAAAG9W0XY=")</f>
        <v>#REF!</v>
      </c>
      <c r="DP49" t="e">
        <f>IF(#REF!,"AAAAAG9W0Xc=",0)</f>
        <v>#REF!</v>
      </c>
      <c r="DQ49" t="e">
        <f>AND(#REF!,"AAAAAG9W0Xg=")</f>
        <v>#REF!</v>
      </c>
      <c r="DR49" t="e">
        <f>AND(#REF!,"AAAAAG9W0Xk=")</f>
        <v>#REF!</v>
      </c>
      <c r="DS49" t="e">
        <f>AND(#REF!,"AAAAAG9W0Xo=")</f>
        <v>#REF!</v>
      </c>
      <c r="DT49" t="e">
        <f>AND(#REF!,"AAAAAG9W0Xs=")</f>
        <v>#REF!</v>
      </c>
      <c r="DU49" t="e">
        <f>AND(#REF!,"AAAAAG9W0Xw=")</f>
        <v>#REF!</v>
      </c>
      <c r="DV49" t="e">
        <f>AND(#REF!,"AAAAAG9W0X0=")</f>
        <v>#REF!</v>
      </c>
      <c r="DW49" t="e">
        <f>AND(#REF!,"AAAAAG9W0X4=")</f>
        <v>#REF!</v>
      </c>
      <c r="DX49" t="e">
        <f>AND(#REF!,"AAAAAG9W0X8=")</f>
        <v>#REF!</v>
      </c>
      <c r="DY49" t="e">
        <f>AND(#REF!,"AAAAAG9W0YA=")</f>
        <v>#REF!</v>
      </c>
      <c r="DZ49" t="e">
        <f>AND(#REF!,"AAAAAG9W0YE=")</f>
        <v>#REF!</v>
      </c>
      <c r="EA49" t="e">
        <f>AND(#REF!,"AAAAAG9W0YI=")</f>
        <v>#REF!</v>
      </c>
      <c r="EB49" t="e">
        <f>AND(#REF!,"AAAAAG9W0YM=")</f>
        <v>#REF!</v>
      </c>
      <c r="EC49" t="e">
        <f>AND(#REF!,"AAAAAG9W0YQ=")</f>
        <v>#REF!</v>
      </c>
      <c r="ED49" t="e">
        <f>AND(#REF!,"AAAAAG9W0YU=")</f>
        <v>#REF!</v>
      </c>
      <c r="EE49" t="e">
        <f>AND(#REF!,"AAAAAG9W0YY=")</f>
        <v>#REF!</v>
      </c>
      <c r="EF49" t="e">
        <f>AND(#REF!,"AAAAAG9W0Yc=")</f>
        <v>#REF!</v>
      </c>
      <c r="EG49" t="e">
        <f>AND(#REF!,"AAAAAG9W0Yg=")</f>
        <v>#REF!</v>
      </c>
      <c r="EH49" t="e">
        <f>AND(#REF!,"AAAAAG9W0Yk=")</f>
        <v>#REF!</v>
      </c>
      <c r="EI49" t="e">
        <f>AND(#REF!,"AAAAAG9W0Yo=")</f>
        <v>#REF!</v>
      </c>
      <c r="EJ49" t="e">
        <f>AND(#REF!,"AAAAAG9W0Ys=")</f>
        <v>#REF!</v>
      </c>
      <c r="EK49" t="e">
        <f>AND(#REF!,"AAAAAG9W0Yw=")</f>
        <v>#REF!</v>
      </c>
      <c r="EL49" t="e">
        <f>AND(#REF!,"AAAAAG9W0Y0=")</f>
        <v>#REF!</v>
      </c>
      <c r="EM49" t="e">
        <f>AND(#REF!,"AAAAAG9W0Y4=")</f>
        <v>#REF!</v>
      </c>
      <c r="EN49" t="e">
        <f>AND(#REF!,"AAAAAG9W0Y8=")</f>
        <v>#REF!</v>
      </c>
      <c r="EO49" t="e">
        <f>IF(#REF!,"AAAAAG9W0ZA=",0)</f>
        <v>#REF!</v>
      </c>
      <c r="EP49" t="e">
        <f>AND(#REF!,"AAAAAG9W0ZE=")</f>
        <v>#REF!</v>
      </c>
      <c r="EQ49" t="e">
        <f>AND(#REF!,"AAAAAG9W0ZI=")</f>
        <v>#REF!</v>
      </c>
      <c r="ER49" t="e">
        <f>AND(#REF!,"AAAAAG9W0ZM=")</f>
        <v>#REF!</v>
      </c>
      <c r="ES49" t="e">
        <f>AND(#REF!,"AAAAAG9W0ZQ=")</f>
        <v>#REF!</v>
      </c>
      <c r="ET49" t="e">
        <f>AND(#REF!,"AAAAAG9W0ZU=")</f>
        <v>#REF!</v>
      </c>
      <c r="EU49" t="e">
        <f>AND(#REF!,"AAAAAG9W0ZY=")</f>
        <v>#REF!</v>
      </c>
      <c r="EV49" t="e">
        <f>AND(#REF!,"AAAAAG9W0Zc=")</f>
        <v>#REF!</v>
      </c>
      <c r="EW49" t="e">
        <f>AND(#REF!,"AAAAAG9W0Zg=")</f>
        <v>#REF!</v>
      </c>
      <c r="EX49" t="e">
        <f>AND(#REF!,"AAAAAG9W0Zk=")</f>
        <v>#REF!</v>
      </c>
      <c r="EY49" t="e">
        <f>AND(#REF!,"AAAAAG9W0Zo=")</f>
        <v>#REF!</v>
      </c>
      <c r="EZ49" t="e">
        <f>AND(#REF!,"AAAAAG9W0Zs=")</f>
        <v>#REF!</v>
      </c>
      <c r="FA49" t="e">
        <f>AND(#REF!,"AAAAAG9W0Zw=")</f>
        <v>#REF!</v>
      </c>
      <c r="FB49" t="e">
        <f>AND(#REF!,"AAAAAG9W0Z0=")</f>
        <v>#REF!</v>
      </c>
      <c r="FC49" t="e">
        <f>AND(#REF!,"AAAAAG9W0Z4=")</f>
        <v>#REF!</v>
      </c>
      <c r="FD49" t="e">
        <f>AND(#REF!,"AAAAAG9W0Z8=")</f>
        <v>#REF!</v>
      </c>
      <c r="FE49" t="e">
        <f>AND(#REF!,"AAAAAG9W0aA=")</f>
        <v>#REF!</v>
      </c>
      <c r="FF49" t="e">
        <f>AND(#REF!,"AAAAAG9W0aE=")</f>
        <v>#REF!</v>
      </c>
      <c r="FG49" t="e">
        <f>AND(#REF!,"AAAAAG9W0aI=")</f>
        <v>#REF!</v>
      </c>
      <c r="FH49" t="e">
        <f>AND(#REF!,"AAAAAG9W0aM=")</f>
        <v>#REF!</v>
      </c>
      <c r="FI49" t="e">
        <f>AND(#REF!,"AAAAAG9W0aQ=")</f>
        <v>#REF!</v>
      </c>
      <c r="FJ49" t="e">
        <f>AND(#REF!,"AAAAAG9W0aU=")</f>
        <v>#REF!</v>
      </c>
      <c r="FK49" t="e">
        <f>AND(#REF!,"AAAAAG9W0aY=")</f>
        <v>#REF!</v>
      </c>
      <c r="FL49" t="e">
        <f>AND(#REF!,"AAAAAG9W0ac=")</f>
        <v>#REF!</v>
      </c>
      <c r="FM49" t="e">
        <f>AND(#REF!,"AAAAAG9W0ag=")</f>
        <v>#REF!</v>
      </c>
      <c r="FN49" t="e">
        <f>IF(#REF!,"AAAAAG9W0ak=",0)</f>
        <v>#REF!</v>
      </c>
      <c r="FO49" t="e">
        <f>AND(#REF!,"AAAAAG9W0ao=")</f>
        <v>#REF!</v>
      </c>
      <c r="FP49" t="e">
        <f>AND(#REF!,"AAAAAG9W0as=")</f>
        <v>#REF!</v>
      </c>
      <c r="FQ49" t="e">
        <f>AND(#REF!,"AAAAAG9W0aw=")</f>
        <v>#REF!</v>
      </c>
      <c r="FR49" t="e">
        <f>AND(#REF!,"AAAAAG9W0a0=")</f>
        <v>#REF!</v>
      </c>
      <c r="FS49" t="e">
        <f>AND(#REF!,"AAAAAG9W0a4=")</f>
        <v>#REF!</v>
      </c>
      <c r="FT49" t="e">
        <f>AND(#REF!,"AAAAAG9W0a8=")</f>
        <v>#REF!</v>
      </c>
      <c r="FU49" t="e">
        <f>AND(#REF!,"AAAAAG9W0bA=")</f>
        <v>#REF!</v>
      </c>
      <c r="FV49" t="e">
        <f>AND(#REF!,"AAAAAG9W0bE=")</f>
        <v>#REF!</v>
      </c>
      <c r="FW49" t="e">
        <f>AND(#REF!,"AAAAAG9W0bI=")</f>
        <v>#REF!</v>
      </c>
      <c r="FX49" t="e">
        <f>AND(#REF!,"AAAAAG9W0bM=")</f>
        <v>#REF!</v>
      </c>
      <c r="FY49" t="e">
        <f>AND(#REF!,"AAAAAG9W0bQ=")</f>
        <v>#REF!</v>
      </c>
      <c r="FZ49" t="e">
        <f>AND(#REF!,"AAAAAG9W0bU=")</f>
        <v>#REF!</v>
      </c>
      <c r="GA49" t="e">
        <f>AND(#REF!,"AAAAAG9W0bY=")</f>
        <v>#REF!</v>
      </c>
      <c r="GB49" t="e">
        <f>AND(#REF!,"AAAAAG9W0bc=")</f>
        <v>#REF!</v>
      </c>
      <c r="GC49" t="e">
        <f>AND(#REF!,"AAAAAG9W0bg=")</f>
        <v>#REF!</v>
      </c>
      <c r="GD49" t="e">
        <f>AND(#REF!,"AAAAAG9W0bk=")</f>
        <v>#REF!</v>
      </c>
      <c r="GE49" t="e">
        <f>AND(#REF!,"AAAAAG9W0bo=")</f>
        <v>#REF!</v>
      </c>
      <c r="GF49" t="e">
        <f>AND(#REF!,"AAAAAG9W0bs=")</f>
        <v>#REF!</v>
      </c>
      <c r="GG49" t="e">
        <f>AND(#REF!,"AAAAAG9W0bw=")</f>
        <v>#REF!</v>
      </c>
      <c r="GH49" t="e">
        <f>AND(#REF!,"AAAAAG9W0b0=")</f>
        <v>#REF!</v>
      </c>
      <c r="GI49" t="e">
        <f>AND(#REF!,"AAAAAG9W0b4=")</f>
        <v>#REF!</v>
      </c>
      <c r="GJ49" t="e">
        <f>AND(#REF!,"AAAAAG9W0b8=")</f>
        <v>#REF!</v>
      </c>
      <c r="GK49" t="e">
        <f>AND(#REF!,"AAAAAG9W0cA=")</f>
        <v>#REF!</v>
      </c>
      <c r="GL49" t="e">
        <f>AND(#REF!,"AAAAAG9W0cE=")</f>
        <v>#REF!</v>
      </c>
      <c r="GM49" t="e">
        <f>IF(#REF!,"AAAAAG9W0cI=",0)</f>
        <v>#REF!</v>
      </c>
      <c r="GN49" t="e">
        <f>AND(#REF!,"AAAAAG9W0cM=")</f>
        <v>#REF!</v>
      </c>
      <c r="GO49" t="e">
        <f>AND(#REF!,"AAAAAG9W0cQ=")</f>
        <v>#REF!</v>
      </c>
      <c r="GP49" t="e">
        <f>AND(#REF!,"AAAAAG9W0cU=")</f>
        <v>#REF!</v>
      </c>
      <c r="GQ49" t="e">
        <f>AND(#REF!,"AAAAAG9W0cY=")</f>
        <v>#REF!</v>
      </c>
      <c r="GR49" t="e">
        <f>AND(#REF!,"AAAAAG9W0cc=")</f>
        <v>#REF!</v>
      </c>
      <c r="GS49" t="e">
        <f>AND(#REF!,"AAAAAG9W0cg=")</f>
        <v>#REF!</v>
      </c>
      <c r="GT49" t="e">
        <f>AND(#REF!,"AAAAAG9W0ck=")</f>
        <v>#REF!</v>
      </c>
      <c r="GU49" t="e">
        <f>AND(#REF!,"AAAAAG9W0co=")</f>
        <v>#REF!</v>
      </c>
      <c r="GV49" t="e">
        <f>AND(#REF!,"AAAAAG9W0cs=")</f>
        <v>#REF!</v>
      </c>
      <c r="GW49" t="e">
        <f>AND(#REF!,"AAAAAG9W0cw=")</f>
        <v>#REF!</v>
      </c>
      <c r="GX49" t="e">
        <f>AND(#REF!,"AAAAAG9W0c0=")</f>
        <v>#REF!</v>
      </c>
      <c r="GY49" t="e">
        <f>AND(#REF!,"AAAAAG9W0c4=")</f>
        <v>#REF!</v>
      </c>
      <c r="GZ49" t="e">
        <f>AND(#REF!,"AAAAAG9W0c8=")</f>
        <v>#REF!</v>
      </c>
      <c r="HA49" t="e">
        <f>AND(#REF!,"AAAAAG9W0dA=")</f>
        <v>#REF!</v>
      </c>
      <c r="HB49" t="e">
        <f>AND(#REF!,"AAAAAG9W0dE=")</f>
        <v>#REF!</v>
      </c>
      <c r="HC49" t="e">
        <f>AND(#REF!,"AAAAAG9W0dI=")</f>
        <v>#REF!</v>
      </c>
      <c r="HD49" t="e">
        <f>AND(#REF!,"AAAAAG9W0dM=")</f>
        <v>#REF!</v>
      </c>
      <c r="HE49" t="e">
        <f>AND(#REF!,"AAAAAG9W0dQ=")</f>
        <v>#REF!</v>
      </c>
      <c r="HF49" t="e">
        <f>AND(#REF!,"AAAAAG9W0dU=")</f>
        <v>#REF!</v>
      </c>
      <c r="HG49" t="e">
        <f>AND(#REF!,"AAAAAG9W0dY=")</f>
        <v>#REF!</v>
      </c>
      <c r="HH49" t="e">
        <f>AND(#REF!,"AAAAAG9W0dc=")</f>
        <v>#REF!</v>
      </c>
      <c r="HI49" t="e">
        <f>AND(#REF!,"AAAAAG9W0dg=")</f>
        <v>#REF!</v>
      </c>
      <c r="HJ49" t="e">
        <f>AND(#REF!,"AAAAAG9W0dk=")</f>
        <v>#REF!</v>
      </c>
      <c r="HK49" t="e">
        <f>AND(#REF!,"AAAAAG9W0do=")</f>
        <v>#REF!</v>
      </c>
      <c r="HL49" t="e">
        <f>IF(#REF!,"AAAAAG9W0ds=",0)</f>
        <v>#REF!</v>
      </c>
      <c r="HM49" t="e">
        <f>AND(#REF!,"AAAAAG9W0dw=")</f>
        <v>#REF!</v>
      </c>
      <c r="HN49" t="e">
        <f>AND(#REF!,"AAAAAG9W0d0=")</f>
        <v>#REF!</v>
      </c>
      <c r="HO49" t="e">
        <f>AND(#REF!,"AAAAAG9W0d4=")</f>
        <v>#REF!</v>
      </c>
      <c r="HP49" t="e">
        <f>AND(#REF!,"AAAAAG9W0d8=")</f>
        <v>#REF!</v>
      </c>
      <c r="HQ49" t="e">
        <f>AND(#REF!,"AAAAAG9W0eA=")</f>
        <v>#REF!</v>
      </c>
      <c r="HR49" t="e">
        <f>AND(#REF!,"AAAAAG9W0eE=")</f>
        <v>#REF!</v>
      </c>
      <c r="HS49" t="e">
        <f>AND(#REF!,"AAAAAG9W0eI=")</f>
        <v>#REF!</v>
      </c>
      <c r="HT49" t="e">
        <f>AND(#REF!,"AAAAAG9W0eM=")</f>
        <v>#REF!</v>
      </c>
      <c r="HU49" t="e">
        <f>AND(#REF!,"AAAAAG9W0eQ=")</f>
        <v>#REF!</v>
      </c>
      <c r="HV49" t="e">
        <f>AND(#REF!,"AAAAAG9W0eU=")</f>
        <v>#REF!</v>
      </c>
      <c r="HW49" t="e">
        <f>AND(#REF!,"AAAAAG9W0eY=")</f>
        <v>#REF!</v>
      </c>
      <c r="HX49" t="e">
        <f>AND(#REF!,"AAAAAG9W0ec=")</f>
        <v>#REF!</v>
      </c>
      <c r="HY49" t="e">
        <f>AND(#REF!,"AAAAAG9W0eg=")</f>
        <v>#REF!</v>
      </c>
      <c r="HZ49" t="e">
        <f>AND(#REF!,"AAAAAG9W0ek=")</f>
        <v>#REF!</v>
      </c>
      <c r="IA49" t="e">
        <f>AND(#REF!,"AAAAAG9W0eo=")</f>
        <v>#REF!</v>
      </c>
      <c r="IB49" t="e">
        <f>AND(#REF!,"AAAAAG9W0es=")</f>
        <v>#REF!</v>
      </c>
      <c r="IC49" t="e">
        <f>AND(#REF!,"AAAAAG9W0ew=")</f>
        <v>#REF!</v>
      </c>
      <c r="ID49" t="e">
        <f>AND(#REF!,"AAAAAG9W0e0=")</f>
        <v>#REF!</v>
      </c>
      <c r="IE49" t="e">
        <f>AND(#REF!,"AAAAAG9W0e4=")</f>
        <v>#REF!</v>
      </c>
      <c r="IF49" t="e">
        <f>AND(#REF!,"AAAAAG9W0e8=")</f>
        <v>#REF!</v>
      </c>
      <c r="IG49" t="e">
        <f>AND(#REF!,"AAAAAG9W0fA=")</f>
        <v>#REF!</v>
      </c>
      <c r="IH49" t="e">
        <f>AND(#REF!,"AAAAAG9W0fE=")</f>
        <v>#REF!</v>
      </c>
      <c r="II49" t="e">
        <f>AND(#REF!,"AAAAAG9W0fI=")</f>
        <v>#REF!</v>
      </c>
      <c r="IJ49" t="e">
        <f>AND(#REF!,"AAAAAG9W0fM=")</f>
        <v>#REF!</v>
      </c>
      <c r="IK49" t="e">
        <f>IF(#REF!,"AAAAAG9W0fQ=",0)</f>
        <v>#REF!</v>
      </c>
      <c r="IL49" t="e">
        <f>AND(#REF!,"AAAAAG9W0fU=")</f>
        <v>#REF!</v>
      </c>
      <c r="IM49" t="e">
        <f>AND(#REF!,"AAAAAG9W0fY=")</f>
        <v>#REF!</v>
      </c>
      <c r="IN49" t="e">
        <f>AND(#REF!,"AAAAAG9W0fc=")</f>
        <v>#REF!</v>
      </c>
      <c r="IO49" t="e">
        <f>AND(#REF!,"AAAAAG9W0fg=")</f>
        <v>#REF!</v>
      </c>
      <c r="IP49" t="e">
        <f>AND(#REF!,"AAAAAG9W0fk=")</f>
        <v>#REF!</v>
      </c>
      <c r="IQ49" t="e">
        <f>AND(#REF!,"AAAAAG9W0fo=")</f>
        <v>#REF!</v>
      </c>
      <c r="IR49" t="e">
        <f>AND(#REF!,"AAAAAG9W0fs=")</f>
        <v>#REF!</v>
      </c>
      <c r="IS49" t="e">
        <f>AND(#REF!,"AAAAAG9W0fw=")</f>
        <v>#REF!</v>
      </c>
      <c r="IT49" t="e">
        <f>AND(#REF!,"AAAAAG9W0f0=")</f>
        <v>#REF!</v>
      </c>
      <c r="IU49" t="e">
        <f>AND(#REF!,"AAAAAG9W0f4=")</f>
        <v>#REF!</v>
      </c>
      <c r="IV49" t="e">
        <f>AND(#REF!,"AAAAAG9W0f8=")</f>
        <v>#REF!</v>
      </c>
    </row>
    <row r="50" spans="1:256" x14ac:dyDescent="0.25">
      <c r="A50" t="e">
        <f>AND(#REF!,"AAAAADv/3wA=")</f>
        <v>#REF!</v>
      </c>
      <c r="B50" t="e">
        <f>AND(#REF!,"AAAAADv/3wE=")</f>
        <v>#REF!</v>
      </c>
      <c r="C50" t="e">
        <f>AND(#REF!,"AAAAADv/3wI=")</f>
        <v>#REF!</v>
      </c>
      <c r="D50" t="e">
        <f>AND(#REF!,"AAAAADv/3wM=")</f>
        <v>#REF!</v>
      </c>
      <c r="E50" t="e">
        <f>AND(#REF!,"AAAAADv/3wQ=")</f>
        <v>#REF!</v>
      </c>
      <c r="F50" t="e">
        <f>AND(#REF!,"AAAAADv/3wU=")</f>
        <v>#REF!</v>
      </c>
      <c r="G50" t="e">
        <f>AND(#REF!,"AAAAADv/3wY=")</f>
        <v>#REF!</v>
      </c>
      <c r="H50" t="e">
        <f>AND(#REF!,"AAAAADv/3wc=")</f>
        <v>#REF!</v>
      </c>
      <c r="I50" t="e">
        <f>AND(#REF!,"AAAAADv/3wg=")</f>
        <v>#REF!</v>
      </c>
      <c r="J50" t="e">
        <f>AND(#REF!,"AAAAADv/3wk=")</f>
        <v>#REF!</v>
      </c>
      <c r="K50" t="e">
        <f>AND(#REF!,"AAAAADv/3wo=")</f>
        <v>#REF!</v>
      </c>
      <c r="L50" t="e">
        <f>AND(#REF!,"AAAAADv/3ws=")</f>
        <v>#REF!</v>
      </c>
      <c r="M50" t="e">
        <f>AND(#REF!,"AAAAADv/3ww=")</f>
        <v>#REF!</v>
      </c>
      <c r="N50" t="e">
        <f>IF(#REF!,"AAAAADv/3w0=",0)</f>
        <v>#REF!</v>
      </c>
      <c r="O50" t="e">
        <f>AND(#REF!,"AAAAADv/3w4=")</f>
        <v>#REF!</v>
      </c>
      <c r="P50" t="e">
        <f>AND(#REF!,"AAAAADv/3w8=")</f>
        <v>#REF!</v>
      </c>
      <c r="Q50" t="e">
        <f>AND(#REF!,"AAAAADv/3xA=")</f>
        <v>#REF!</v>
      </c>
      <c r="R50" t="e">
        <f>AND(#REF!,"AAAAADv/3xE=")</f>
        <v>#REF!</v>
      </c>
      <c r="S50" t="e">
        <f>AND(#REF!,"AAAAADv/3xI=")</f>
        <v>#REF!</v>
      </c>
      <c r="T50" t="e">
        <f>AND(#REF!,"AAAAADv/3xM=")</f>
        <v>#REF!</v>
      </c>
      <c r="U50" t="e">
        <f>AND(#REF!,"AAAAADv/3xQ=")</f>
        <v>#REF!</v>
      </c>
      <c r="V50" t="e">
        <f>AND(#REF!,"AAAAADv/3xU=")</f>
        <v>#REF!</v>
      </c>
      <c r="W50" t="e">
        <f>AND(#REF!,"AAAAADv/3xY=")</f>
        <v>#REF!</v>
      </c>
      <c r="X50" t="e">
        <f>AND(#REF!,"AAAAADv/3xc=")</f>
        <v>#REF!</v>
      </c>
      <c r="Y50" t="e">
        <f>AND(#REF!,"AAAAADv/3xg=")</f>
        <v>#REF!</v>
      </c>
      <c r="Z50" t="e">
        <f>AND(#REF!,"AAAAADv/3xk=")</f>
        <v>#REF!</v>
      </c>
      <c r="AA50" t="e">
        <f>AND(#REF!,"AAAAADv/3xo=")</f>
        <v>#REF!</v>
      </c>
      <c r="AB50" t="e">
        <f>AND(#REF!,"AAAAADv/3xs=")</f>
        <v>#REF!</v>
      </c>
      <c r="AC50" t="e">
        <f>AND(#REF!,"AAAAADv/3xw=")</f>
        <v>#REF!</v>
      </c>
      <c r="AD50" t="e">
        <f>AND(#REF!,"AAAAADv/3x0=")</f>
        <v>#REF!</v>
      </c>
      <c r="AE50" t="e">
        <f>AND(#REF!,"AAAAADv/3x4=")</f>
        <v>#REF!</v>
      </c>
      <c r="AF50" t="e">
        <f>AND(#REF!,"AAAAADv/3x8=")</f>
        <v>#REF!</v>
      </c>
      <c r="AG50" t="e">
        <f>AND(#REF!,"AAAAADv/3yA=")</f>
        <v>#REF!</v>
      </c>
      <c r="AH50" t="e">
        <f>AND(#REF!,"AAAAADv/3yE=")</f>
        <v>#REF!</v>
      </c>
      <c r="AI50" t="e">
        <f>AND(#REF!,"AAAAADv/3yI=")</f>
        <v>#REF!</v>
      </c>
      <c r="AJ50" t="e">
        <f>AND(#REF!,"AAAAADv/3yM=")</f>
        <v>#REF!</v>
      </c>
      <c r="AK50" t="e">
        <f>AND(#REF!,"AAAAADv/3yQ=")</f>
        <v>#REF!</v>
      </c>
      <c r="AL50" t="e">
        <f>AND(#REF!,"AAAAADv/3yU=")</f>
        <v>#REF!</v>
      </c>
      <c r="AM50" t="e">
        <f>IF(#REF!,"AAAAADv/3yY=",0)</f>
        <v>#REF!</v>
      </c>
      <c r="AN50" t="e">
        <f>AND(#REF!,"AAAAADv/3yc=")</f>
        <v>#REF!</v>
      </c>
      <c r="AO50" t="e">
        <f>AND(#REF!,"AAAAADv/3yg=")</f>
        <v>#REF!</v>
      </c>
      <c r="AP50" t="e">
        <f>AND(#REF!,"AAAAADv/3yk=")</f>
        <v>#REF!</v>
      </c>
      <c r="AQ50" t="e">
        <f>AND(#REF!,"AAAAADv/3yo=")</f>
        <v>#REF!</v>
      </c>
      <c r="AR50" t="e">
        <f>AND(#REF!,"AAAAADv/3ys=")</f>
        <v>#REF!</v>
      </c>
      <c r="AS50" t="e">
        <f>AND(#REF!,"AAAAADv/3yw=")</f>
        <v>#REF!</v>
      </c>
      <c r="AT50" t="e">
        <f>AND(#REF!,"AAAAADv/3y0=")</f>
        <v>#REF!</v>
      </c>
      <c r="AU50" t="e">
        <f>AND(#REF!,"AAAAADv/3y4=")</f>
        <v>#REF!</v>
      </c>
      <c r="AV50" t="e">
        <f>AND(#REF!,"AAAAADv/3y8=")</f>
        <v>#REF!</v>
      </c>
      <c r="AW50" t="e">
        <f>AND(#REF!,"AAAAADv/3zA=")</f>
        <v>#REF!</v>
      </c>
      <c r="AX50" t="e">
        <f>AND(#REF!,"AAAAADv/3zE=")</f>
        <v>#REF!</v>
      </c>
      <c r="AY50" t="e">
        <f>AND(#REF!,"AAAAADv/3zI=")</f>
        <v>#REF!</v>
      </c>
      <c r="AZ50" t="e">
        <f>AND(#REF!,"AAAAADv/3zM=")</f>
        <v>#REF!</v>
      </c>
      <c r="BA50" t="e">
        <f>AND(#REF!,"AAAAADv/3zQ=")</f>
        <v>#REF!</v>
      </c>
      <c r="BB50" t="e">
        <f>AND(#REF!,"AAAAADv/3zU=")</f>
        <v>#REF!</v>
      </c>
      <c r="BC50" t="e">
        <f>AND(#REF!,"AAAAADv/3zY=")</f>
        <v>#REF!</v>
      </c>
      <c r="BD50" t="e">
        <f>AND(#REF!,"AAAAADv/3zc=")</f>
        <v>#REF!</v>
      </c>
      <c r="BE50" t="e">
        <f>AND(#REF!,"AAAAADv/3zg=")</f>
        <v>#REF!</v>
      </c>
      <c r="BF50" t="e">
        <f>AND(#REF!,"AAAAADv/3zk=")</f>
        <v>#REF!</v>
      </c>
      <c r="BG50" t="e">
        <f>AND(#REF!,"AAAAADv/3zo=")</f>
        <v>#REF!</v>
      </c>
      <c r="BH50" t="e">
        <f>AND(#REF!,"AAAAADv/3zs=")</f>
        <v>#REF!</v>
      </c>
      <c r="BI50" t="e">
        <f>AND(#REF!,"AAAAADv/3zw=")</f>
        <v>#REF!</v>
      </c>
      <c r="BJ50" t="e">
        <f>AND(#REF!,"AAAAADv/3z0=")</f>
        <v>#REF!</v>
      </c>
      <c r="BK50" t="e">
        <f>AND(#REF!,"AAAAADv/3z4=")</f>
        <v>#REF!</v>
      </c>
      <c r="BL50" t="e">
        <f>IF(#REF!,"AAAAADv/3z8=",0)</f>
        <v>#REF!</v>
      </c>
      <c r="BM50" t="e">
        <f>AND(#REF!,"AAAAADv/30A=")</f>
        <v>#REF!</v>
      </c>
      <c r="BN50" t="e">
        <f>AND(#REF!,"AAAAADv/30E=")</f>
        <v>#REF!</v>
      </c>
      <c r="BO50" t="e">
        <f>AND(#REF!,"AAAAADv/30I=")</f>
        <v>#REF!</v>
      </c>
      <c r="BP50" t="e">
        <f>AND(#REF!,"AAAAADv/30M=")</f>
        <v>#REF!</v>
      </c>
      <c r="BQ50" t="e">
        <f>AND(#REF!,"AAAAADv/30Q=")</f>
        <v>#REF!</v>
      </c>
      <c r="BR50" t="e">
        <f>AND(#REF!,"AAAAADv/30U=")</f>
        <v>#REF!</v>
      </c>
      <c r="BS50" t="e">
        <f>AND(#REF!,"AAAAADv/30Y=")</f>
        <v>#REF!</v>
      </c>
      <c r="BT50" t="e">
        <f>AND(#REF!,"AAAAADv/30c=")</f>
        <v>#REF!</v>
      </c>
      <c r="BU50" t="e">
        <f>AND(#REF!,"AAAAADv/30g=")</f>
        <v>#REF!</v>
      </c>
      <c r="BV50" t="e">
        <f>AND(#REF!,"AAAAADv/30k=")</f>
        <v>#REF!</v>
      </c>
      <c r="BW50" t="e">
        <f>AND(#REF!,"AAAAADv/30o=")</f>
        <v>#REF!</v>
      </c>
      <c r="BX50" t="e">
        <f>AND(#REF!,"AAAAADv/30s=")</f>
        <v>#REF!</v>
      </c>
      <c r="BY50" t="e">
        <f>AND(#REF!,"AAAAADv/30w=")</f>
        <v>#REF!</v>
      </c>
      <c r="BZ50" t="e">
        <f>AND(#REF!,"AAAAADv/300=")</f>
        <v>#REF!</v>
      </c>
      <c r="CA50" t="e">
        <f>AND(#REF!,"AAAAADv/304=")</f>
        <v>#REF!</v>
      </c>
      <c r="CB50" t="e">
        <f>AND(#REF!,"AAAAADv/308=")</f>
        <v>#REF!</v>
      </c>
      <c r="CC50" t="e">
        <f>AND(#REF!,"AAAAADv/31A=")</f>
        <v>#REF!</v>
      </c>
      <c r="CD50" t="e">
        <f>AND(#REF!,"AAAAADv/31E=")</f>
        <v>#REF!</v>
      </c>
      <c r="CE50" t="e">
        <f>AND(#REF!,"AAAAADv/31I=")</f>
        <v>#REF!</v>
      </c>
      <c r="CF50" t="e">
        <f>AND(#REF!,"AAAAADv/31M=")</f>
        <v>#REF!</v>
      </c>
      <c r="CG50" t="e">
        <f>AND(#REF!,"AAAAADv/31Q=")</f>
        <v>#REF!</v>
      </c>
      <c r="CH50" t="e">
        <f>AND(#REF!,"AAAAADv/31U=")</f>
        <v>#REF!</v>
      </c>
      <c r="CI50" t="e">
        <f>AND(#REF!,"AAAAADv/31Y=")</f>
        <v>#REF!</v>
      </c>
      <c r="CJ50" t="e">
        <f>AND(#REF!,"AAAAADv/31c=")</f>
        <v>#REF!</v>
      </c>
      <c r="CK50" t="e">
        <f>IF(#REF!,"AAAAADv/31g=",0)</f>
        <v>#REF!</v>
      </c>
      <c r="CL50" t="e">
        <f>AND(#REF!,"AAAAADv/31k=")</f>
        <v>#REF!</v>
      </c>
      <c r="CM50" t="e">
        <f>AND(#REF!,"AAAAADv/31o=")</f>
        <v>#REF!</v>
      </c>
      <c r="CN50" t="e">
        <f>AND(#REF!,"AAAAADv/31s=")</f>
        <v>#REF!</v>
      </c>
      <c r="CO50" t="e">
        <f>AND(#REF!,"AAAAADv/31w=")</f>
        <v>#REF!</v>
      </c>
      <c r="CP50" t="e">
        <f>AND(#REF!,"AAAAADv/310=")</f>
        <v>#REF!</v>
      </c>
      <c r="CQ50" t="e">
        <f>AND(#REF!,"AAAAADv/314=")</f>
        <v>#REF!</v>
      </c>
      <c r="CR50" t="e">
        <f>AND(#REF!,"AAAAADv/318=")</f>
        <v>#REF!</v>
      </c>
      <c r="CS50" t="e">
        <f>AND(#REF!,"AAAAADv/32A=")</f>
        <v>#REF!</v>
      </c>
      <c r="CT50" t="e">
        <f>AND(#REF!,"AAAAADv/32E=")</f>
        <v>#REF!</v>
      </c>
      <c r="CU50" t="e">
        <f>AND(#REF!,"AAAAADv/32I=")</f>
        <v>#REF!</v>
      </c>
      <c r="CV50" t="e">
        <f>AND(#REF!,"AAAAADv/32M=")</f>
        <v>#REF!</v>
      </c>
      <c r="CW50" t="e">
        <f>AND(#REF!,"AAAAADv/32Q=")</f>
        <v>#REF!</v>
      </c>
      <c r="CX50" t="e">
        <f>AND(#REF!,"AAAAADv/32U=")</f>
        <v>#REF!</v>
      </c>
      <c r="CY50" t="e">
        <f>AND(#REF!,"AAAAADv/32Y=")</f>
        <v>#REF!</v>
      </c>
      <c r="CZ50" t="e">
        <f>AND(#REF!,"AAAAADv/32c=")</f>
        <v>#REF!</v>
      </c>
      <c r="DA50" t="e">
        <f>AND(#REF!,"AAAAADv/32g=")</f>
        <v>#REF!</v>
      </c>
      <c r="DB50" t="e">
        <f>AND(#REF!,"AAAAADv/32k=")</f>
        <v>#REF!</v>
      </c>
      <c r="DC50" t="e">
        <f>AND(#REF!,"AAAAADv/32o=")</f>
        <v>#REF!</v>
      </c>
      <c r="DD50" t="e">
        <f>AND(#REF!,"AAAAADv/32s=")</f>
        <v>#REF!</v>
      </c>
      <c r="DE50" t="e">
        <f>AND(#REF!,"AAAAADv/32w=")</f>
        <v>#REF!</v>
      </c>
      <c r="DF50" t="e">
        <f>AND(#REF!,"AAAAADv/320=")</f>
        <v>#REF!</v>
      </c>
      <c r="DG50" t="e">
        <f>AND(#REF!,"AAAAADv/324=")</f>
        <v>#REF!</v>
      </c>
      <c r="DH50" t="e">
        <f>AND(#REF!,"AAAAADv/328=")</f>
        <v>#REF!</v>
      </c>
      <c r="DI50" t="e">
        <f>AND(#REF!,"AAAAADv/33A=")</f>
        <v>#REF!</v>
      </c>
      <c r="DJ50" t="e">
        <f>IF(#REF!,"AAAAADv/33E=",0)</f>
        <v>#REF!</v>
      </c>
      <c r="DK50" t="e">
        <f>AND(#REF!,"AAAAADv/33I=")</f>
        <v>#REF!</v>
      </c>
      <c r="DL50" t="e">
        <f>AND(#REF!,"AAAAADv/33M=")</f>
        <v>#REF!</v>
      </c>
      <c r="DM50" t="e">
        <f>AND(#REF!,"AAAAADv/33Q=")</f>
        <v>#REF!</v>
      </c>
      <c r="DN50" t="e">
        <f>AND(#REF!,"AAAAADv/33U=")</f>
        <v>#REF!</v>
      </c>
      <c r="DO50" t="e">
        <f>AND(#REF!,"AAAAADv/33Y=")</f>
        <v>#REF!</v>
      </c>
      <c r="DP50" t="e">
        <f>AND(#REF!,"AAAAADv/33c=")</f>
        <v>#REF!</v>
      </c>
      <c r="DQ50" t="e">
        <f>AND(#REF!,"AAAAADv/33g=")</f>
        <v>#REF!</v>
      </c>
      <c r="DR50" t="e">
        <f>AND(#REF!,"AAAAADv/33k=")</f>
        <v>#REF!</v>
      </c>
      <c r="DS50" t="e">
        <f>AND(#REF!,"AAAAADv/33o=")</f>
        <v>#REF!</v>
      </c>
      <c r="DT50" t="e">
        <f>AND(#REF!,"AAAAADv/33s=")</f>
        <v>#REF!</v>
      </c>
      <c r="DU50" t="e">
        <f>AND(#REF!,"AAAAADv/33w=")</f>
        <v>#REF!</v>
      </c>
      <c r="DV50" t="e">
        <f>AND(#REF!,"AAAAADv/330=")</f>
        <v>#REF!</v>
      </c>
      <c r="DW50" t="e">
        <f>AND(#REF!,"AAAAADv/334=")</f>
        <v>#REF!</v>
      </c>
      <c r="DX50" t="e">
        <f>AND(#REF!,"AAAAADv/338=")</f>
        <v>#REF!</v>
      </c>
      <c r="DY50" t="e">
        <f>AND(#REF!,"AAAAADv/34A=")</f>
        <v>#REF!</v>
      </c>
      <c r="DZ50" t="e">
        <f>AND(#REF!,"AAAAADv/34E=")</f>
        <v>#REF!</v>
      </c>
      <c r="EA50" t="e">
        <f>AND(#REF!,"AAAAADv/34I=")</f>
        <v>#REF!</v>
      </c>
      <c r="EB50" t="e">
        <f>AND(#REF!,"AAAAADv/34M=")</f>
        <v>#REF!</v>
      </c>
      <c r="EC50" t="e">
        <f>AND(#REF!,"AAAAADv/34Q=")</f>
        <v>#REF!</v>
      </c>
      <c r="ED50" t="e">
        <f>AND(#REF!,"AAAAADv/34U=")</f>
        <v>#REF!</v>
      </c>
      <c r="EE50" t="e">
        <f>AND(#REF!,"AAAAADv/34Y=")</f>
        <v>#REF!</v>
      </c>
      <c r="EF50" t="e">
        <f>AND(#REF!,"AAAAADv/34c=")</f>
        <v>#REF!</v>
      </c>
      <c r="EG50" t="e">
        <f>AND(#REF!,"AAAAADv/34g=")</f>
        <v>#REF!</v>
      </c>
      <c r="EH50" t="e">
        <f>AND(#REF!,"AAAAADv/34k=")</f>
        <v>#REF!</v>
      </c>
      <c r="EI50" t="e">
        <f>IF(#REF!,"AAAAADv/34o=",0)</f>
        <v>#REF!</v>
      </c>
      <c r="EJ50" t="e">
        <f>AND(#REF!,"AAAAADv/34s=")</f>
        <v>#REF!</v>
      </c>
      <c r="EK50" t="e">
        <f>AND(#REF!,"AAAAADv/34w=")</f>
        <v>#REF!</v>
      </c>
      <c r="EL50" t="e">
        <f>AND(#REF!,"AAAAADv/340=")</f>
        <v>#REF!</v>
      </c>
      <c r="EM50" t="e">
        <f>AND(#REF!,"AAAAADv/344=")</f>
        <v>#REF!</v>
      </c>
      <c r="EN50" t="e">
        <f>AND(#REF!,"AAAAADv/348=")</f>
        <v>#REF!</v>
      </c>
      <c r="EO50" t="e">
        <f>AND(#REF!,"AAAAADv/35A=")</f>
        <v>#REF!</v>
      </c>
      <c r="EP50" t="e">
        <f>AND(#REF!,"AAAAADv/35E=")</f>
        <v>#REF!</v>
      </c>
      <c r="EQ50" t="e">
        <f>AND(#REF!,"AAAAADv/35I=")</f>
        <v>#REF!</v>
      </c>
      <c r="ER50" t="e">
        <f>AND(#REF!,"AAAAADv/35M=")</f>
        <v>#REF!</v>
      </c>
      <c r="ES50" t="e">
        <f>AND(#REF!,"AAAAADv/35Q=")</f>
        <v>#REF!</v>
      </c>
      <c r="ET50" t="e">
        <f>AND(#REF!,"AAAAADv/35U=")</f>
        <v>#REF!</v>
      </c>
      <c r="EU50" t="e">
        <f>AND(#REF!,"AAAAADv/35Y=")</f>
        <v>#REF!</v>
      </c>
      <c r="EV50" t="e">
        <f>AND(#REF!,"AAAAADv/35c=")</f>
        <v>#REF!</v>
      </c>
      <c r="EW50" t="e">
        <f>AND(#REF!,"AAAAADv/35g=")</f>
        <v>#REF!</v>
      </c>
      <c r="EX50" t="e">
        <f>AND(#REF!,"AAAAADv/35k=")</f>
        <v>#REF!</v>
      </c>
      <c r="EY50" t="e">
        <f>AND(#REF!,"AAAAADv/35o=")</f>
        <v>#REF!</v>
      </c>
      <c r="EZ50" t="e">
        <f>AND(#REF!,"AAAAADv/35s=")</f>
        <v>#REF!</v>
      </c>
      <c r="FA50" t="e">
        <f>AND(#REF!,"AAAAADv/35w=")</f>
        <v>#REF!</v>
      </c>
      <c r="FB50" t="e">
        <f>AND(#REF!,"AAAAADv/350=")</f>
        <v>#REF!</v>
      </c>
      <c r="FC50" t="e">
        <f>AND(#REF!,"AAAAADv/354=")</f>
        <v>#REF!</v>
      </c>
      <c r="FD50" t="e">
        <f>AND(#REF!,"AAAAADv/358=")</f>
        <v>#REF!</v>
      </c>
      <c r="FE50" t="e">
        <f>AND(#REF!,"AAAAADv/36A=")</f>
        <v>#REF!</v>
      </c>
      <c r="FF50" t="e">
        <f>AND(#REF!,"AAAAADv/36E=")</f>
        <v>#REF!</v>
      </c>
      <c r="FG50" t="e">
        <f>AND(#REF!,"AAAAADv/36I=")</f>
        <v>#REF!</v>
      </c>
      <c r="FH50" t="e">
        <f>IF(#REF!,"AAAAADv/36M=",0)</f>
        <v>#REF!</v>
      </c>
      <c r="FI50" t="e">
        <f>AND(#REF!,"AAAAADv/36Q=")</f>
        <v>#REF!</v>
      </c>
      <c r="FJ50" t="e">
        <f>AND(#REF!,"AAAAADv/36U=")</f>
        <v>#REF!</v>
      </c>
      <c r="FK50" t="e">
        <f>AND(#REF!,"AAAAADv/36Y=")</f>
        <v>#REF!</v>
      </c>
      <c r="FL50" t="e">
        <f>AND(#REF!,"AAAAADv/36c=")</f>
        <v>#REF!</v>
      </c>
      <c r="FM50" t="e">
        <f>AND(#REF!,"AAAAADv/36g=")</f>
        <v>#REF!</v>
      </c>
      <c r="FN50" t="e">
        <f>AND(#REF!,"AAAAADv/36k=")</f>
        <v>#REF!</v>
      </c>
      <c r="FO50" t="e">
        <f>AND(#REF!,"AAAAADv/36o=")</f>
        <v>#REF!</v>
      </c>
      <c r="FP50" t="e">
        <f>AND(#REF!,"AAAAADv/36s=")</f>
        <v>#REF!</v>
      </c>
      <c r="FQ50" t="e">
        <f>AND(#REF!,"AAAAADv/36w=")</f>
        <v>#REF!</v>
      </c>
      <c r="FR50" t="e">
        <f>AND(#REF!,"AAAAADv/360=")</f>
        <v>#REF!</v>
      </c>
      <c r="FS50" t="e">
        <f>AND(#REF!,"AAAAADv/364=")</f>
        <v>#REF!</v>
      </c>
      <c r="FT50" t="e">
        <f>AND(#REF!,"AAAAADv/368=")</f>
        <v>#REF!</v>
      </c>
      <c r="FU50" t="e">
        <f>AND(#REF!,"AAAAADv/37A=")</f>
        <v>#REF!</v>
      </c>
      <c r="FV50" t="e">
        <f>AND(#REF!,"AAAAADv/37E=")</f>
        <v>#REF!</v>
      </c>
      <c r="FW50" t="e">
        <f>AND(#REF!,"AAAAADv/37I=")</f>
        <v>#REF!</v>
      </c>
      <c r="FX50" t="e">
        <f>AND(#REF!,"AAAAADv/37M=")</f>
        <v>#REF!</v>
      </c>
      <c r="FY50" t="e">
        <f>AND(#REF!,"AAAAADv/37Q=")</f>
        <v>#REF!</v>
      </c>
      <c r="FZ50" t="e">
        <f>AND(#REF!,"AAAAADv/37U=")</f>
        <v>#REF!</v>
      </c>
      <c r="GA50" t="e">
        <f>AND(#REF!,"AAAAADv/37Y=")</f>
        <v>#REF!</v>
      </c>
      <c r="GB50" t="e">
        <f>AND(#REF!,"AAAAADv/37c=")</f>
        <v>#REF!</v>
      </c>
      <c r="GC50" t="e">
        <f>AND(#REF!,"AAAAADv/37g=")</f>
        <v>#REF!</v>
      </c>
      <c r="GD50" t="e">
        <f>AND(#REF!,"AAAAADv/37k=")</f>
        <v>#REF!</v>
      </c>
      <c r="GE50" t="e">
        <f>AND(#REF!,"AAAAADv/37o=")</f>
        <v>#REF!</v>
      </c>
      <c r="GF50" t="e">
        <f>AND(#REF!,"AAAAADv/37s=")</f>
        <v>#REF!</v>
      </c>
      <c r="GG50" t="e">
        <f>IF(#REF!,"AAAAADv/37w=",0)</f>
        <v>#REF!</v>
      </c>
      <c r="GH50" t="e">
        <f>AND(#REF!,"AAAAADv/370=")</f>
        <v>#REF!</v>
      </c>
      <c r="GI50" t="e">
        <f>AND(#REF!,"AAAAADv/374=")</f>
        <v>#REF!</v>
      </c>
      <c r="GJ50" t="e">
        <f>AND(#REF!,"AAAAADv/378=")</f>
        <v>#REF!</v>
      </c>
      <c r="GK50" t="e">
        <f>AND(#REF!,"AAAAADv/38A=")</f>
        <v>#REF!</v>
      </c>
      <c r="GL50" t="e">
        <f>AND(#REF!,"AAAAADv/38E=")</f>
        <v>#REF!</v>
      </c>
      <c r="GM50" t="e">
        <f>AND(#REF!,"AAAAADv/38I=")</f>
        <v>#REF!</v>
      </c>
      <c r="GN50" t="e">
        <f>AND(#REF!,"AAAAADv/38M=")</f>
        <v>#REF!</v>
      </c>
      <c r="GO50" t="e">
        <f>AND(#REF!,"AAAAADv/38Q=")</f>
        <v>#REF!</v>
      </c>
      <c r="GP50" t="e">
        <f>AND(#REF!,"AAAAADv/38U=")</f>
        <v>#REF!</v>
      </c>
      <c r="GQ50" t="e">
        <f>AND(#REF!,"AAAAADv/38Y=")</f>
        <v>#REF!</v>
      </c>
      <c r="GR50" t="e">
        <f>AND(#REF!,"AAAAADv/38c=")</f>
        <v>#REF!</v>
      </c>
      <c r="GS50" t="e">
        <f>AND(#REF!,"AAAAADv/38g=")</f>
        <v>#REF!</v>
      </c>
      <c r="GT50" t="e">
        <f>AND(#REF!,"AAAAADv/38k=")</f>
        <v>#REF!</v>
      </c>
      <c r="GU50" t="e">
        <f>AND(#REF!,"AAAAADv/38o=")</f>
        <v>#REF!</v>
      </c>
      <c r="GV50" t="e">
        <f>AND(#REF!,"AAAAADv/38s=")</f>
        <v>#REF!</v>
      </c>
      <c r="GW50" t="e">
        <f>AND(#REF!,"AAAAADv/38w=")</f>
        <v>#REF!</v>
      </c>
      <c r="GX50" t="e">
        <f>AND(#REF!,"AAAAADv/380=")</f>
        <v>#REF!</v>
      </c>
      <c r="GY50" t="e">
        <f>AND(#REF!,"AAAAADv/384=")</f>
        <v>#REF!</v>
      </c>
      <c r="GZ50" t="e">
        <f>AND(#REF!,"AAAAADv/388=")</f>
        <v>#REF!</v>
      </c>
      <c r="HA50" t="e">
        <f>AND(#REF!,"AAAAADv/39A=")</f>
        <v>#REF!</v>
      </c>
      <c r="HB50" t="e">
        <f>AND(#REF!,"AAAAADv/39E=")</f>
        <v>#REF!</v>
      </c>
      <c r="HC50" t="e">
        <f>AND(#REF!,"AAAAADv/39I=")</f>
        <v>#REF!</v>
      </c>
      <c r="HD50" t="e">
        <f>AND(#REF!,"AAAAADv/39M=")</f>
        <v>#REF!</v>
      </c>
      <c r="HE50" t="e">
        <f>AND(#REF!,"AAAAADv/39Q=")</f>
        <v>#REF!</v>
      </c>
      <c r="HF50" t="e">
        <f>IF(#REF!,"AAAAADv/39U=",0)</f>
        <v>#REF!</v>
      </c>
      <c r="HG50" t="e">
        <f>AND(#REF!,"AAAAADv/39Y=")</f>
        <v>#REF!</v>
      </c>
      <c r="HH50" t="e">
        <f>AND(#REF!,"AAAAADv/39c=")</f>
        <v>#REF!</v>
      </c>
      <c r="HI50" t="e">
        <f>AND(#REF!,"AAAAADv/39g=")</f>
        <v>#REF!</v>
      </c>
      <c r="HJ50" t="e">
        <f>AND(#REF!,"AAAAADv/39k=")</f>
        <v>#REF!</v>
      </c>
      <c r="HK50" t="e">
        <f>AND(#REF!,"AAAAADv/39o=")</f>
        <v>#REF!</v>
      </c>
      <c r="HL50" t="e">
        <f>AND(#REF!,"AAAAADv/39s=")</f>
        <v>#REF!</v>
      </c>
      <c r="HM50" t="e">
        <f>AND(#REF!,"AAAAADv/39w=")</f>
        <v>#REF!</v>
      </c>
      <c r="HN50" t="e">
        <f>AND(#REF!,"AAAAADv/390=")</f>
        <v>#REF!</v>
      </c>
      <c r="HO50" t="e">
        <f>AND(#REF!,"AAAAADv/394=")</f>
        <v>#REF!</v>
      </c>
      <c r="HP50" t="e">
        <f>AND(#REF!,"AAAAADv/398=")</f>
        <v>#REF!</v>
      </c>
      <c r="HQ50" t="e">
        <f>AND(#REF!,"AAAAADv/3+A=")</f>
        <v>#REF!</v>
      </c>
      <c r="HR50" t="e">
        <f>AND(#REF!,"AAAAADv/3+E=")</f>
        <v>#REF!</v>
      </c>
      <c r="HS50" t="e">
        <f>AND(#REF!,"AAAAADv/3+I=")</f>
        <v>#REF!</v>
      </c>
      <c r="HT50" t="e">
        <f>AND(#REF!,"AAAAADv/3+M=")</f>
        <v>#REF!</v>
      </c>
      <c r="HU50" t="e">
        <f>AND(#REF!,"AAAAADv/3+Q=")</f>
        <v>#REF!</v>
      </c>
      <c r="HV50" t="e">
        <f>AND(#REF!,"AAAAADv/3+U=")</f>
        <v>#REF!</v>
      </c>
      <c r="HW50" t="e">
        <f>AND(#REF!,"AAAAADv/3+Y=")</f>
        <v>#REF!</v>
      </c>
      <c r="HX50" t="e">
        <f>AND(#REF!,"AAAAADv/3+c=")</f>
        <v>#REF!</v>
      </c>
      <c r="HY50" t="e">
        <f>AND(#REF!,"AAAAADv/3+g=")</f>
        <v>#REF!</v>
      </c>
      <c r="HZ50" t="e">
        <f>AND(#REF!,"AAAAADv/3+k=")</f>
        <v>#REF!</v>
      </c>
      <c r="IA50" t="e">
        <f>AND(#REF!,"AAAAADv/3+o=")</f>
        <v>#REF!</v>
      </c>
      <c r="IB50" t="e">
        <f>AND(#REF!,"AAAAADv/3+s=")</f>
        <v>#REF!</v>
      </c>
      <c r="IC50" t="e">
        <f>AND(#REF!,"AAAAADv/3+w=")</f>
        <v>#REF!</v>
      </c>
      <c r="ID50" t="e">
        <f>AND(#REF!,"AAAAADv/3+0=")</f>
        <v>#REF!</v>
      </c>
      <c r="IE50" t="e">
        <f>IF(#REF!,"AAAAADv/3+4=",0)</f>
        <v>#REF!</v>
      </c>
      <c r="IF50" t="e">
        <f>AND(#REF!,"AAAAADv/3+8=")</f>
        <v>#REF!</v>
      </c>
      <c r="IG50" t="e">
        <f>AND(#REF!,"AAAAADv/3/A=")</f>
        <v>#REF!</v>
      </c>
      <c r="IH50" t="e">
        <f>AND(#REF!,"AAAAADv/3/E=")</f>
        <v>#REF!</v>
      </c>
      <c r="II50" t="e">
        <f>AND(#REF!,"AAAAADv/3/I=")</f>
        <v>#REF!</v>
      </c>
      <c r="IJ50" t="e">
        <f>AND(#REF!,"AAAAADv/3/M=")</f>
        <v>#REF!</v>
      </c>
      <c r="IK50" t="e">
        <f>AND(#REF!,"AAAAADv/3/Q=")</f>
        <v>#REF!</v>
      </c>
      <c r="IL50" t="e">
        <f>AND(#REF!,"AAAAADv/3/U=")</f>
        <v>#REF!</v>
      </c>
      <c r="IM50" t="e">
        <f>AND(#REF!,"AAAAADv/3/Y=")</f>
        <v>#REF!</v>
      </c>
      <c r="IN50" t="e">
        <f>AND(#REF!,"AAAAADv/3/c=")</f>
        <v>#REF!</v>
      </c>
      <c r="IO50" t="e">
        <f>AND(#REF!,"AAAAADv/3/g=")</f>
        <v>#REF!</v>
      </c>
      <c r="IP50" t="e">
        <f>AND(#REF!,"AAAAADv/3/k=")</f>
        <v>#REF!</v>
      </c>
      <c r="IQ50" t="e">
        <f>AND(#REF!,"AAAAADv/3/o=")</f>
        <v>#REF!</v>
      </c>
      <c r="IR50" t="e">
        <f>AND(#REF!,"AAAAADv/3/s=")</f>
        <v>#REF!</v>
      </c>
      <c r="IS50" t="e">
        <f>AND(#REF!,"AAAAADv/3/w=")</f>
        <v>#REF!</v>
      </c>
      <c r="IT50" t="e">
        <f>AND(#REF!,"AAAAADv/3/0=")</f>
        <v>#REF!</v>
      </c>
      <c r="IU50" t="e">
        <f>AND(#REF!,"AAAAADv/3/4=")</f>
        <v>#REF!</v>
      </c>
      <c r="IV50" t="e">
        <f>AND(#REF!,"AAAAADv/3/8=")</f>
        <v>#REF!</v>
      </c>
    </row>
    <row r="51" spans="1:256" x14ac:dyDescent="0.25">
      <c r="A51" t="e">
        <f>AND(#REF!,"AAAAAD3v5wA=")</f>
        <v>#REF!</v>
      </c>
      <c r="B51" t="e">
        <f>AND(#REF!,"AAAAAD3v5wE=")</f>
        <v>#REF!</v>
      </c>
      <c r="C51" t="e">
        <f>AND(#REF!,"AAAAAD3v5wI=")</f>
        <v>#REF!</v>
      </c>
      <c r="D51" t="e">
        <f>AND(#REF!,"AAAAAD3v5wM=")</f>
        <v>#REF!</v>
      </c>
      <c r="E51" t="e">
        <f>AND(#REF!,"AAAAAD3v5wQ=")</f>
        <v>#REF!</v>
      </c>
      <c r="F51" t="e">
        <f>AND(#REF!,"AAAAAD3v5wU=")</f>
        <v>#REF!</v>
      </c>
      <c r="G51" t="e">
        <f>AND(#REF!,"AAAAAD3v5wY=")</f>
        <v>#REF!</v>
      </c>
      <c r="H51" t="e">
        <f>IF(#REF!,"AAAAAD3v5wc=",0)</f>
        <v>#REF!</v>
      </c>
      <c r="I51" t="e">
        <f>AND(#REF!,"AAAAAD3v5wg=")</f>
        <v>#REF!</v>
      </c>
      <c r="J51" t="e">
        <f>AND(#REF!,"AAAAAD3v5wk=")</f>
        <v>#REF!</v>
      </c>
      <c r="K51" t="e">
        <f>AND(#REF!,"AAAAAD3v5wo=")</f>
        <v>#REF!</v>
      </c>
      <c r="L51" t="e">
        <f>AND(#REF!,"AAAAAD3v5ws=")</f>
        <v>#REF!</v>
      </c>
      <c r="M51" t="e">
        <f>AND(#REF!,"AAAAAD3v5ww=")</f>
        <v>#REF!</v>
      </c>
      <c r="N51" t="e">
        <f>AND(#REF!,"AAAAAD3v5w0=")</f>
        <v>#REF!</v>
      </c>
      <c r="O51" t="e">
        <f>AND(#REF!,"AAAAAD3v5w4=")</f>
        <v>#REF!</v>
      </c>
      <c r="P51" t="e">
        <f>AND(#REF!,"AAAAAD3v5w8=")</f>
        <v>#REF!</v>
      </c>
      <c r="Q51" t="e">
        <f>AND(#REF!,"AAAAAD3v5xA=")</f>
        <v>#REF!</v>
      </c>
      <c r="R51" t="e">
        <f>AND(#REF!,"AAAAAD3v5xE=")</f>
        <v>#REF!</v>
      </c>
      <c r="S51" t="e">
        <f>AND(#REF!,"AAAAAD3v5xI=")</f>
        <v>#REF!</v>
      </c>
      <c r="T51" t="e">
        <f>AND(#REF!,"AAAAAD3v5xM=")</f>
        <v>#REF!</v>
      </c>
      <c r="U51" t="e">
        <f>AND(#REF!,"AAAAAD3v5xQ=")</f>
        <v>#REF!</v>
      </c>
      <c r="V51" t="e">
        <f>AND(#REF!,"AAAAAD3v5xU=")</f>
        <v>#REF!</v>
      </c>
      <c r="W51" t="e">
        <f>AND(#REF!,"AAAAAD3v5xY=")</f>
        <v>#REF!</v>
      </c>
      <c r="X51" t="e">
        <f>AND(#REF!,"AAAAAD3v5xc=")</f>
        <v>#REF!</v>
      </c>
      <c r="Y51" t="e">
        <f>AND(#REF!,"AAAAAD3v5xg=")</f>
        <v>#REF!</v>
      </c>
      <c r="Z51" t="e">
        <f>AND(#REF!,"AAAAAD3v5xk=")</f>
        <v>#REF!</v>
      </c>
      <c r="AA51" t="e">
        <f>AND(#REF!,"AAAAAD3v5xo=")</f>
        <v>#REF!</v>
      </c>
      <c r="AB51" t="e">
        <f>AND(#REF!,"AAAAAD3v5xs=")</f>
        <v>#REF!</v>
      </c>
      <c r="AC51" t="e">
        <f>AND(#REF!,"AAAAAD3v5xw=")</f>
        <v>#REF!</v>
      </c>
      <c r="AD51" t="e">
        <f>AND(#REF!,"AAAAAD3v5x0=")</f>
        <v>#REF!</v>
      </c>
      <c r="AE51" t="e">
        <f>AND(#REF!,"AAAAAD3v5x4=")</f>
        <v>#REF!</v>
      </c>
      <c r="AF51" t="e">
        <f>AND(#REF!,"AAAAAD3v5x8=")</f>
        <v>#REF!</v>
      </c>
      <c r="AG51" t="e">
        <f>IF(#REF!,"AAAAAD3v5yA=",0)</f>
        <v>#REF!</v>
      </c>
      <c r="AH51" t="e">
        <f>AND(#REF!,"AAAAAD3v5yE=")</f>
        <v>#REF!</v>
      </c>
      <c r="AI51" t="e">
        <f>AND(#REF!,"AAAAAD3v5yI=")</f>
        <v>#REF!</v>
      </c>
      <c r="AJ51" t="e">
        <f>AND(#REF!,"AAAAAD3v5yM=")</f>
        <v>#REF!</v>
      </c>
      <c r="AK51" t="e">
        <f>AND(#REF!,"AAAAAD3v5yQ=")</f>
        <v>#REF!</v>
      </c>
      <c r="AL51" t="e">
        <f>AND(#REF!,"AAAAAD3v5yU=")</f>
        <v>#REF!</v>
      </c>
      <c r="AM51" t="e">
        <f>AND(#REF!,"AAAAAD3v5yY=")</f>
        <v>#REF!</v>
      </c>
      <c r="AN51" t="e">
        <f>AND(#REF!,"AAAAAD3v5yc=")</f>
        <v>#REF!</v>
      </c>
      <c r="AO51" t="e">
        <f>AND(#REF!,"AAAAAD3v5yg=")</f>
        <v>#REF!</v>
      </c>
      <c r="AP51" t="e">
        <f>AND(#REF!,"AAAAAD3v5yk=")</f>
        <v>#REF!</v>
      </c>
      <c r="AQ51" t="e">
        <f>AND(#REF!,"AAAAAD3v5yo=")</f>
        <v>#REF!</v>
      </c>
      <c r="AR51" t="e">
        <f>AND(#REF!,"AAAAAD3v5ys=")</f>
        <v>#REF!</v>
      </c>
      <c r="AS51" t="e">
        <f>AND(#REF!,"AAAAAD3v5yw=")</f>
        <v>#REF!</v>
      </c>
      <c r="AT51" t="e">
        <f>AND(#REF!,"AAAAAD3v5y0=")</f>
        <v>#REF!</v>
      </c>
      <c r="AU51" t="e">
        <f>AND(#REF!,"AAAAAD3v5y4=")</f>
        <v>#REF!</v>
      </c>
      <c r="AV51" t="e">
        <f>AND(#REF!,"AAAAAD3v5y8=")</f>
        <v>#REF!</v>
      </c>
      <c r="AW51" t="e">
        <f>AND(#REF!,"AAAAAD3v5zA=")</f>
        <v>#REF!</v>
      </c>
      <c r="AX51" t="e">
        <f>AND(#REF!,"AAAAAD3v5zE=")</f>
        <v>#REF!</v>
      </c>
      <c r="AY51" t="e">
        <f>AND(#REF!,"AAAAAD3v5zI=")</f>
        <v>#REF!</v>
      </c>
      <c r="AZ51" t="e">
        <f>AND(#REF!,"AAAAAD3v5zM=")</f>
        <v>#REF!</v>
      </c>
      <c r="BA51" t="e">
        <f>AND(#REF!,"AAAAAD3v5zQ=")</f>
        <v>#REF!</v>
      </c>
      <c r="BB51" t="e">
        <f>AND(#REF!,"AAAAAD3v5zU=")</f>
        <v>#REF!</v>
      </c>
      <c r="BC51" t="e">
        <f>AND(#REF!,"AAAAAD3v5zY=")</f>
        <v>#REF!</v>
      </c>
      <c r="BD51" t="e">
        <f>AND(#REF!,"AAAAAD3v5zc=")</f>
        <v>#REF!</v>
      </c>
      <c r="BE51" t="e">
        <f>AND(#REF!,"AAAAAD3v5zg=")</f>
        <v>#REF!</v>
      </c>
      <c r="BF51" t="e">
        <f>IF(#REF!,"AAAAAD3v5zk=",0)</f>
        <v>#REF!</v>
      </c>
      <c r="BG51" t="e">
        <f>AND(#REF!,"AAAAAD3v5zo=")</f>
        <v>#REF!</v>
      </c>
      <c r="BH51" t="e">
        <f>AND(#REF!,"AAAAAD3v5zs=")</f>
        <v>#REF!</v>
      </c>
      <c r="BI51" t="e">
        <f>AND(#REF!,"AAAAAD3v5zw=")</f>
        <v>#REF!</v>
      </c>
      <c r="BJ51" t="e">
        <f>AND(#REF!,"AAAAAD3v5z0=")</f>
        <v>#REF!</v>
      </c>
      <c r="BK51" t="e">
        <f>AND(#REF!,"AAAAAD3v5z4=")</f>
        <v>#REF!</v>
      </c>
      <c r="BL51" t="e">
        <f>AND(#REF!,"AAAAAD3v5z8=")</f>
        <v>#REF!</v>
      </c>
      <c r="BM51" t="e">
        <f>AND(#REF!,"AAAAAD3v50A=")</f>
        <v>#REF!</v>
      </c>
      <c r="BN51" t="e">
        <f>AND(#REF!,"AAAAAD3v50E=")</f>
        <v>#REF!</v>
      </c>
      <c r="BO51" t="e">
        <f>AND(#REF!,"AAAAAD3v50I=")</f>
        <v>#REF!</v>
      </c>
      <c r="BP51" t="e">
        <f>AND(#REF!,"AAAAAD3v50M=")</f>
        <v>#REF!</v>
      </c>
      <c r="BQ51" t="e">
        <f>AND(#REF!,"AAAAAD3v50Q=")</f>
        <v>#REF!</v>
      </c>
      <c r="BR51" t="e">
        <f>AND(#REF!,"AAAAAD3v50U=")</f>
        <v>#REF!</v>
      </c>
      <c r="BS51" t="e">
        <f>AND(#REF!,"AAAAAD3v50Y=")</f>
        <v>#REF!</v>
      </c>
      <c r="BT51" t="e">
        <f>AND(#REF!,"AAAAAD3v50c=")</f>
        <v>#REF!</v>
      </c>
      <c r="BU51" t="e">
        <f>AND(#REF!,"AAAAAD3v50g=")</f>
        <v>#REF!</v>
      </c>
      <c r="BV51" t="e">
        <f>AND(#REF!,"AAAAAD3v50k=")</f>
        <v>#REF!</v>
      </c>
      <c r="BW51" t="e">
        <f>AND(#REF!,"AAAAAD3v50o=")</f>
        <v>#REF!</v>
      </c>
      <c r="BX51" t="e">
        <f>AND(#REF!,"AAAAAD3v50s=")</f>
        <v>#REF!</v>
      </c>
      <c r="BY51" t="e">
        <f>AND(#REF!,"AAAAAD3v50w=")</f>
        <v>#REF!</v>
      </c>
      <c r="BZ51" t="e">
        <f>AND(#REF!,"AAAAAD3v500=")</f>
        <v>#REF!</v>
      </c>
      <c r="CA51" t="e">
        <f>AND(#REF!,"AAAAAD3v504=")</f>
        <v>#REF!</v>
      </c>
      <c r="CB51" t="e">
        <f>AND(#REF!,"AAAAAD3v508=")</f>
        <v>#REF!</v>
      </c>
      <c r="CC51" t="e">
        <f>AND(#REF!,"AAAAAD3v51A=")</f>
        <v>#REF!</v>
      </c>
      <c r="CD51" t="e">
        <f>AND(#REF!,"AAAAAD3v51E=")</f>
        <v>#REF!</v>
      </c>
      <c r="CE51" t="e">
        <f>IF(#REF!,"AAAAAD3v51I=",0)</f>
        <v>#REF!</v>
      </c>
      <c r="CF51" t="e">
        <f>AND(#REF!,"AAAAAD3v51M=")</f>
        <v>#REF!</v>
      </c>
      <c r="CG51" t="e">
        <f>AND(#REF!,"AAAAAD3v51Q=")</f>
        <v>#REF!</v>
      </c>
      <c r="CH51" t="e">
        <f>AND(#REF!,"AAAAAD3v51U=")</f>
        <v>#REF!</v>
      </c>
      <c r="CI51" t="e">
        <f>AND(#REF!,"AAAAAD3v51Y=")</f>
        <v>#REF!</v>
      </c>
      <c r="CJ51" t="e">
        <f>AND(#REF!,"AAAAAD3v51c=")</f>
        <v>#REF!</v>
      </c>
      <c r="CK51" t="e">
        <f>AND(#REF!,"AAAAAD3v51g=")</f>
        <v>#REF!</v>
      </c>
      <c r="CL51" t="e">
        <f>AND(#REF!,"AAAAAD3v51k=")</f>
        <v>#REF!</v>
      </c>
      <c r="CM51" t="e">
        <f>AND(#REF!,"AAAAAD3v51o=")</f>
        <v>#REF!</v>
      </c>
      <c r="CN51" t="e">
        <f>AND(#REF!,"AAAAAD3v51s=")</f>
        <v>#REF!</v>
      </c>
      <c r="CO51" t="e">
        <f>AND(#REF!,"AAAAAD3v51w=")</f>
        <v>#REF!</v>
      </c>
      <c r="CP51" t="e">
        <f>AND(#REF!,"AAAAAD3v510=")</f>
        <v>#REF!</v>
      </c>
      <c r="CQ51" t="e">
        <f>AND(#REF!,"AAAAAD3v514=")</f>
        <v>#REF!</v>
      </c>
      <c r="CR51" t="e">
        <f>AND(#REF!,"AAAAAD3v518=")</f>
        <v>#REF!</v>
      </c>
      <c r="CS51" t="e">
        <f>AND(#REF!,"AAAAAD3v52A=")</f>
        <v>#REF!</v>
      </c>
      <c r="CT51" t="e">
        <f>AND(#REF!,"AAAAAD3v52E=")</f>
        <v>#REF!</v>
      </c>
      <c r="CU51" t="e">
        <f>AND(#REF!,"AAAAAD3v52I=")</f>
        <v>#REF!</v>
      </c>
      <c r="CV51" t="e">
        <f>AND(#REF!,"AAAAAD3v52M=")</f>
        <v>#REF!</v>
      </c>
      <c r="CW51" t="e">
        <f>AND(#REF!,"AAAAAD3v52Q=")</f>
        <v>#REF!</v>
      </c>
      <c r="CX51" t="e">
        <f>AND(#REF!,"AAAAAD3v52U=")</f>
        <v>#REF!</v>
      </c>
      <c r="CY51" t="e">
        <f>AND(#REF!,"AAAAAD3v52Y=")</f>
        <v>#REF!</v>
      </c>
      <c r="CZ51" t="e">
        <f>AND(#REF!,"AAAAAD3v52c=")</f>
        <v>#REF!</v>
      </c>
      <c r="DA51" t="e">
        <f>AND(#REF!,"AAAAAD3v52g=")</f>
        <v>#REF!</v>
      </c>
      <c r="DB51" t="e">
        <f>AND(#REF!,"AAAAAD3v52k=")</f>
        <v>#REF!</v>
      </c>
      <c r="DC51" t="e">
        <f>AND(#REF!,"AAAAAD3v52o=")</f>
        <v>#REF!</v>
      </c>
      <c r="DD51" t="e">
        <f>IF(#REF!,"AAAAAD3v52s=",0)</f>
        <v>#REF!</v>
      </c>
      <c r="DE51" t="e">
        <f>AND(#REF!,"AAAAAD3v52w=")</f>
        <v>#REF!</v>
      </c>
      <c r="DF51" t="e">
        <f>AND(#REF!,"AAAAAD3v520=")</f>
        <v>#REF!</v>
      </c>
      <c r="DG51" t="e">
        <f>AND(#REF!,"AAAAAD3v524=")</f>
        <v>#REF!</v>
      </c>
      <c r="DH51" t="e">
        <f>AND(#REF!,"AAAAAD3v528=")</f>
        <v>#REF!</v>
      </c>
      <c r="DI51" t="e">
        <f>AND(#REF!,"AAAAAD3v53A=")</f>
        <v>#REF!</v>
      </c>
      <c r="DJ51" t="e">
        <f>AND(#REF!,"AAAAAD3v53E=")</f>
        <v>#REF!</v>
      </c>
      <c r="DK51" t="e">
        <f>AND(#REF!,"AAAAAD3v53I=")</f>
        <v>#REF!</v>
      </c>
      <c r="DL51" t="e">
        <f>AND(#REF!,"AAAAAD3v53M=")</f>
        <v>#REF!</v>
      </c>
      <c r="DM51" t="e">
        <f>AND(#REF!,"AAAAAD3v53Q=")</f>
        <v>#REF!</v>
      </c>
      <c r="DN51" t="e">
        <f>AND(#REF!,"AAAAAD3v53U=")</f>
        <v>#REF!</v>
      </c>
      <c r="DO51" t="e">
        <f>AND(#REF!,"AAAAAD3v53Y=")</f>
        <v>#REF!</v>
      </c>
      <c r="DP51" t="e">
        <f>AND(#REF!,"AAAAAD3v53c=")</f>
        <v>#REF!</v>
      </c>
      <c r="DQ51" t="e">
        <f>AND(#REF!,"AAAAAD3v53g=")</f>
        <v>#REF!</v>
      </c>
      <c r="DR51" t="e">
        <f>AND(#REF!,"AAAAAD3v53k=")</f>
        <v>#REF!</v>
      </c>
      <c r="DS51" t="e">
        <f>AND(#REF!,"AAAAAD3v53o=")</f>
        <v>#REF!</v>
      </c>
      <c r="DT51" t="e">
        <f>AND(#REF!,"AAAAAD3v53s=")</f>
        <v>#REF!</v>
      </c>
      <c r="DU51" t="e">
        <f>AND(#REF!,"AAAAAD3v53w=")</f>
        <v>#REF!</v>
      </c>
      <c r="DV51" t="e">
        <f>AND(#REF!,"AAAAAD3v530=")</f>
        <v>#REF!</v>
      </c>
      <c r="DW51" t="e">
        <f>AND(#REF!,"AAAAAD3v534=")</f>
        <v>#REF!</v>
      </c>
      <c r="DX51" t="e">
        <f>AND(#REF!,"AAAAAD3v538=")</f>
        <v>#REF!</v>
      </c>
      <c r="DY51" t="e">
        <f>AND(#REF!,"AAAAAD3v54A=")</f>
        <v>#REF!</v>
      </c>
      <c r="DZ51" t="e">
        <f>AND(#REF!,"AAAAAD3v54E=")</f>
        <v>#REF!</v>
      </c>
      <c r="EA51" t="e">
        <f>AND(#REF!,"AAAAAD3v54I=")</f>
        <v>#REF!</v>
      </c>
      <c r="EB51" t="e">
        <f>AND(#REF!,"AAAAAD3v54M=")</f>
        <v>#REF!</v>
      </c>
      <c r="EC51" t="e">
        <f>IF(#REF!,"AAAAAD3v54Q=",0)</f>
        <v>#REF!</v>
      </c>
      <c r="ED51" t="e">
        <f>AND(#REF!,"AAAAAD3v54U=")</f>
        <v>#REF!</v>
      </c>
      <c r="EE51" t="e">
        <f>AND(#REF!,"AAAAAD3v54Y=")</f>
        <v>#REF!</v>
      </c>
      <c r="EF51" t="e">
        <f>AND(#REF!,"AAAAAD3v54c=")</f>
        <v>#REF!</v>
      </c>
      <c r="EG51" t="e">
        <f>AND(#REF!,"AAAAAD3v54g=")</f>
        <v>#REF!</v>
      </c>
      <c r="EH51" t="e">
        <f>AND(#REF!,"AAAAAD3v54k=")</f>
        <v>#REF!</v>
      </c>
      <c r="EI51" t="e">
        <f>AND(#REF!,"AAAAAD3v54o=")</f>
        <v>#REF!</v>
      </c>
      <c r="EJ51" t="e">
        <f>AND(#REF!,"AAAAAD3v54s=")</f>
        <v>#REF!</v>
      </c>
      <c r="EK51" t="e">
        <f>AND(#REF!,"AAAAAD3v54w=")</f>
        <v>#REF!</v>
      </c>
      <c r="EL51" t="e">
        <f>AND(#REF!,"AAAAAD3v540=")</f>
        <v>#REF!</v>
      </c>
      <c r="EM51" t="e">
        <f>AND(#REF!,"AAAAAD3v544=")</f>
        <v>#REF!</v>
      </c>
      <c r="EN51" t="e">
        <f>AND(#REF!,"AAAAAD3v548=")</f>
        <v>#REF!</v>
      </c>
      <c r="EO51" t="e">
        <f>AND(#REF!,"AAAAAD3v55A=")</f>
        <v>#REF!</v>
      </c>
      <c r="EP51" t="e">
        <f>AND(#REF!,"AAAAAD3v55E=")</f>
        <v>#REF!</v>
      </c>
      <c r="EQ51" t="e">
        <f>AND(#REF!,"AAAAAD3v55I=")</f>
        <v>#REF!</v>
      </c>
      <c r="ER51" t="e">
        <f>AND(#REF!,"AAAAAD3v55M=")</f>
        <v>#REF!</v>
      </c>
      <c r="ES51" t="e">
        <f>AND(#REF!,"AAAAAD3v55Q=")</f>
        <v>#REF!</v>
      </c>
      <c r="ET51" t="e">
        <f>AND(#REF!,"AAAAAD3v55U=")</f>
        <v>#REF!</v>
      </c>
      <c r="EU51" t="e">
        <f>AND(#REF!,"AAAAAD3v55Y=")</f>
        <v>#REF!</v>
      </c>
      <c r="EV51" t="e">
        <f>AND(#REF!,"AAAAAD3v55c=")</f>
        <v>#REF!</v>
      </c>
      <c r="EW51" t="e">
        <f>AND(#REF!,"AAAAAD3v55g=")</f>
        <v>#REF!</v>
      </c>
      <c r="EX51" t="e">
        <f>AND(#REF!,"AAAAAD3v55k=")</f>
        <v>#REF!</v>
      </c>
      <c r="EY51" t="e">
        <f>AND(#REF!,"AAAAAD3v55o=")</f>
        <v>#REF!</v>
      </c>
      <c r="EZ51" t="e">
        <f>AND(#REF!,"AAAAAD3v55s=")</f>
        <v>#REF!</v>
      </c>
      <c r="FA51" t="e">
        <f>AND(#REF!,"AAAAAD3v55w=")</f>
        <v>#REF!</v>
      </c>
      <c r="FB51" t="e">
        <f>IF(#REF!,"AAAAAD3v550=",0)</f>
        <v>#REF!</v>
      </c>
      <c r="FC51" t="e">
        <f>AND(#REF!,"AAAAAD3v554=")</f>
        <v>#REF!</v>
      </c>
      <c r="FD51" t="e">
        <f>AND(#REF!,"AAAAAD3v558=")</f>
        <v>#REF!</v>
      </c>
      <c r="FE51" t="e">
        <f>AND(#REF!,"AAAAAD3v56A=")</f>
        <v>#REF!</v>
      </c>
      <c r="FF51" t="e">
        <f>AND(#REF!,"AAAAAD3v56E=")</f>
        <v>#REF!</v>
      </c>
      <c r="FG51" t="e">
        <f>AND(#REF!,"AAAAAD3v56I=")</f>
        <v>#REF!</v>
      </c>
      <c r="FH51" t="e">
        <f>AND(#REF!,"AAAAAD3v56M=")</f>
        <v>#REF!</v>
      </c>
      <c r="FI51" t="e">
        <f>AND(#REF!,"AAAAAD3v56Q=")</f>
        <v>#REF!</v>
      </c>
      <c r="FJ51" t="e">
        <f>AND(#REF!,"AAAAAD3v56U=")</f>
        <v>#REF!</v>
      </c>
      <c r="FK51" t="e">
        <f>AND(#REF!,"AAAAAD3v56Y=")</f>
        <v>#REF!</v>
      </c>
      <c r="FL51" t="e">
        <f>AND(#REF!,"AAAAAD3v56c=")</f>
        <v>#REF!</v>
      </c>
      <c r="FM51" t="e">
        <f>AND(#REF!,"AAAAAD3v56g=")</f>
        <v>#REF!</v>
      </c>
      <c r="FN51" t="e">
        <f>AND(#REF!,"AAAAAD3v56k=")</f>
        <v>#REF!</v>
      </c>
      <c r="FO51" t="e">
        <f>AND(#REF!,"AAAAAD3v56o=")</f>
        <v>#REF!</v>
      </c>
      <c r="FP51" t="e">
        <f>AND(#REF!,"AAAAAD3v56s=")</f>
        <v>#REF!</v>
      </c>
      <c r="FQ51" t="e">
        <f>AND(#REF!,"AAAAAD3v56w=")</f>
        <v>#REF!</v>
      </c>
      <c r="FR51" t="e">
        <f>AND(#REF!,"AAAAAD3v560=")</f>
        <v>#REF!</v>
      </c>
      <c r="FS51" t="e">
        <f>AND(#REF!,"AAAAAD3v564=")</f>
        <v>#REF!</v>
      </c>
      <c r="FT51" t="e">
        <f>AND(#REF!,"AAAAAD3v568=")</f>
        <v>#REF!</v>
      </c>
      <c r="FU51" t="e">
        <f>AND(#REF!,"AAAAAD3v57A=")</f>
        <v>#REF!</v>
      </c>
      <c r="FV51" t="e">
        <f>AND(#REF!,"AAAAAD3v57E=")</f>
        <v>#REF!</v>
      </c>
      <c r="FW51" t="e">
        <f>AND(#REF!,"AAAAAD3v57I=")</f>
        <v>#REF!</v>
      </c>
      <c r="FX51" t="e">
        <f>AND(#REF!,"AAAAAD3v57M=")</f>
        <v>#REF!</v>
      </c>
      <c r="FY51" t="e">
        <f>AND(#REF!,"AAAAAD3v57Q=")</f>
        <v>#REF!</v>
      </c>
      <c r="FZ51" t="e">
        <f>AND(#REF!,"AAAAAD3v57U=")</f>
        <v>#REF!</v>
      </c>
      <c r="GA51" t="e">
        <f>IF(#REF!,"AAAAAD3v57Y=",0)</f>
        <v>#REF!</v>
      </c>
      <c r="GB51" t="e">
        <f>AND(#REF!,"AAAAAD3v57c=")</f>
        <v>#REF!</v>
      </c>
      <c r="GC51" t="e">
        <f>AND(#REF!,"AAAAAD3v57g=")</f>
        <v>#REF!</v>
      </c>
      <c r="GD51" t="e">
        <f>AND(#REF!,"AAAAAD3v57k=")</f>
        <v>#REF!</v>
      </c>
      <c r="GE51" t="e">
        <f>AND(#REF!,"AAAAAD3v57o=")</f>
        <v>#REF!</v>
      </c>
      <c r="GF51" t="e">
        <f>AND(#REF!,"AAAAAD3v57s=")</f>
        <v>#REF!</v>
      </c>
      <c r="GG51" t="e">
        <f>AND(#REF!,"AAAAAD3v57w=")</f>
        <v>#REF!</v>
      </c>
      <c r="GH51" t="e">
        <f>AND(#REF!,"AAAAAD3v570=")</f>
        <v>#REF!</v>
      </c>
      <c r="GI51" t="e">
        <f>AND(#REF!,"AAAAAD3v574=")</f>
        <v>#REF!</v>
      </c>
      <c r="GJ51" t="e">
        <f>AND(#REF!,"AAAAAD3v578=")</f>
        <v>#REF!</v>
      </c>
      <c r="GK51" t="e">
        <f>AND(#REF!,"AAAAAD3v58A=")</f>
        <v>#REF!</v>
      </c>
      <c r="GL51" t="e">
        <f>AND(#REF!,"AAAAAD3v58E=")</f>
        <v>#REF!</v>
      </c>
      <c r="GM51" t="e">
        <f>AND(#REF!,"AAAAAD3v58I=")</f>
        <v>#REF!</v>
      </c>
      <c r="GN51" t="e">
        <f>AND(#REF!,"AAAAAD3v58M=")</f>
        <v>#REF!</v>
      </c>
      <c r="GO51" t="e">
        <f>AND(#REF!,"AAAAAD3v58Q=")</f>
        <v>#REF!</v>
      </c>
      <c r="GP51" t="e">
        <f>AND(#REF!,"AAAAAD3v58U=")</f>
        <v>#REF!</v>
      </c>
      <c r="GQ51" t="e">
        <f>AND(#REF!,"AAAAAD3v58Y=")</f>
        <v>#REF!</v>
      </c>
      <c r="GR51" t="e">
        <f>AND(#REF!,"AAAAAD3v58c=")</f>
        <v>#REF!</v>
      </c>
      <c r="GS51" t="e">
        <f>AND(#REF!,"AAAAAD3v58g=")</f>
        <v>#REF!</v>
      </c>
      <c r="GT51" t="e">
        <f>AND(#REF!,"AAAAAD3v58k=")</f>
        <v>#REF!</v>
      </c>
      <c r="GU51" t="e">
        <f>AND(#REF!,"AAAAAD3v58o=")</f>
        <v>#REF!</v>
      </c>
      <c r="GV51" t="e">
        <f>AND(#REF!,"AAAAAD3v58s=")</f>
        <v>#REF!</v>
      </c>
      <c r="GW51" t="e">
        <f>AND(#REF!,"AAAAAD3v58w=")</f>
        <v>#REF!</v>
      </c>
      <c r="GX51" t="e">
        <f>AND(#REF!,"AAAAAD3v580=")</f>
        <v>#REF!</v>
      </c>
      <c r="GY51" t="e">
        <f>AND(#REF!,"AAAAAD3v584=")</f>
        <v>#REF!</v>
      </c>
      <c r="GZ51" t="e">
        <f>IF(#REF!,"AAAAAD3v588=",0)</f>
        <v>#REF!</v>
      </c>
      <c r="HA51" t="e">
        <f>AND(#REF!,"AAAAAD3v59A=")</f>
        <v>#REF!</v>
      </c>
      <c r="HB51" t="e">
        <f>AND(#REF!,"AAAAAD3v59E=")</f>
        <v>#REF!</v>
      </c>
      <c r="HC51" t="e">
        <f>AND(#REF!,"AAAAAD3v59I=")</f>
        <v>#REF!</v>
      </c>
      <c r="HD51" t="e">
        <f>AND(#REF!,"AAAAAD3v59M=")</f>
        <v>#REF!</v>
      </c>
      <c r="HE51" t="e">
        <f>AND(#REF!,"AAAAAD3v59Q=")</f>
        <v>#REF!</v>
      </c>
      <c r="HF51" t="e">
        <f>AND(#REF!,"AAAAAD3v59U=")</f>
        <v>#REF!</v>
      </c>
      <c r="HG51" t="e">
        <f>AND(#REF!,"AAAAAD3v59Y=")</f>
        <v>#REF!</v>
      </c>
      <c r="HH51" t="e">
        <f>AND(#REF!,"AAAAAD3v59c=")</f>
        <v>#REF!</v>
      </c>
      <c r="HI51" t="e">
        <f>AND(#REF!,"AAAAAD3v59g=")</f>
        <v>#REF!</v>
      </c>
      <c r="HJ51" t="e">
        <f>AND(#REF!,"AAAAAD3v59k=")</f>
        <v>#REF!</v>
      </c>
      <c r="HK51" t="e">
        <f>AND(#REF!,"AAAAAD3v59o=")</f>
        <v>#REF!</v>
      </c>
      <c r="HL51" t="e">
        <f>AND(#REF!,"AAAAAD3v59s=")</f>
        <v>#REF!</v>
      </c>
      <c r="HM51" t="e">
        <f>AND(#REF!,"AAAAAD3v59w=")</f>
        <v>#REF!</v>
      </c>
      <c r="HN51" t="e">
        <f>AND(#REF!,"AAAAAD3v590=")</f>
        <v>#REF!</v>
      </c>
      <c r="HO51" t="e">
        <f>AND(#REF!,"AAAAAD3v594=")</f>
        <v>#REF!</v>
      </c>
      <c r="HP51" t="e">
        <f>AND(#REF!,"AAAAAD3v598=")</f>
        <v>#REF!</v>
      </c>
      <c r="HQ51" t="e">
        <f>AND(#REF!,"AAAAAD3v5+A=")</f>
        <v>#REF!</v>
      </c>
      <c r="HR51" t="e">
        <f>AND(#REF!,"AAAAAD3v5+E=")</f>
        <v>#REF!</v>
      </c>
      <c r="HS51" t="e">
        <f>AND(#REF!,"AAAAAD3v5+I=")</f>
        <v>#REF!</v>
      </c>
      <c r="HT51" t="e">
        <f>AND(#REF!,"AAAAAD3v5+M=")</f>
        <v>#REF!</v>
      </c>
      <c r="HU51" t="e">
        <f>AND(#REF!,"AAAAAD3v5+Q=")</f>
        <v>#REF!</v>
      </c>
      <c r="HV51" t="e">
        <f>AND(#REF!,"AAAAAD3v5+U=")</f>
        <v>#REF!</v>
      </c>
      <c r="HW51" t="e">
        <f>AND(#REF!,"AAAAAD3v5+Y=")</f>
        <v>#REF!</v>
      </c>
      <c r="HX51" t="e">
        <f>AND(#REF!,"AAAAAD3v5+c=")</f>
        <v>#REF!</v>
      </c>
      <c r="HY51" t="e">
        <f>IF(#REF!,"AAAAAD3v5+g=",0)</f>
        <v>#REF!</v>
      </c>
      <c r="HZ51" t="e">
        <f>AND(#REF!,"AAAAAD3v5+k=")</f>
        <v>#REF!</v>
      </c>
      <c r="IA51" t="e">
        <f>AND(#REF!,"AAAAAD3v5+o=")</f>
        <v>#REF!</v>
      </c>
      <c r="IB51" t="e">
        <f>AND(#REF!,"AAAAAD3v5+s=")</f>
        <v>#REF!</v>
      </c>
      <c r="IC51" t="e">
        <f>AND(#REF!,"AAAAAD3v5+w=")</f>
        <v>#REF!</v>
      </c>
      <c r="ID51" t="e">
        <f>AND(#REF!,"AAAAAD3v5+0=")</f>
        <v>#REF!</v>
      </c>
      <c r="IE51" t="e">
        <f>AND(#REF!,"AAAAAD3v5+4=")</f>
        <v>#REF!</v>
      </c>
      <c r="IF51" t="e">
        <f>AND(#REF!,"AAAAAD3v5+8=")</f>
        <v>#REF!</v>
      </c>
      <c r="IG51" t="e">
        <f>AND(#REF!,"AAAAAD3v5/A=")</f>
        <v>#REF!</v>
      </c>
      <c r="IH51" t="e">
        <f>AND(#REF!,"AAAAAD3v5/E=")</f>
        <v>#REF!</v>
      </c>
      <c r="II51" t="e">
        <f>AND(#REF!,"AAAAAD3v5/I=")</f>
        <v>#REF!</v>
      </c>
      <c r="IJ51" t="e">
        <f>AND(#REF!,"AAAAAD3v5/M=")</f>
        <v>#REF!</v>
      </c>
      <c r="IK51" t="e">
        <f>AND(#REF!,"AAAAAD3v5/Q=")</f>
        <v>#REF!</v>
      </c>
      <c r="IL51" t="e">
        <f>AND(#REF!,"AAAAAD3v5/U=")</f>
        <v>#REF!</v>
      </c>
      <c r="IM51" t="e">
        <f>AND(#REF!,"AAAAAD3v5/Y=")</f>
        <v>#REF!</v>
      </c>
      <c r="IN51" t="e">
        <f>AND(#REF!,"AAAAAD3v5/c=")</f>
        <v>#REF!</v>
      </c>
      <c r="IO51" t="e">
        <f>AND(#REF!,"AAAAAD3v5/g=")</f>
        <v>#REF!</v>
      </c>
      <c r="IP51" t="e">
        <f>AND(#REF!,"AAAAAD3v5/k=")</f>
        <v>#REF!</v>
      </c>
      <c r="IQ51" t="e">
        <f>AND(#REF!,"AAAAAD3v5/o=")</f>
        <v>#REF!</v>
      </c>
      <c r="IR51" t="e">
        <f>AND(#REF!,"AAAAAD3v5/s=")</f>
        <v>#REF!</v>
      </c>
      <c r="IS51" t="e">
        <f>AND(#REF!,"AAAAAD3v5/w=")</f>
        <v>#REF!</v>
      </c>
      <c r="IT51" t="e">
        <f>AND(#REF!,"AAAAAD3v5/0=")</f>
        <v>#REF!</v>
      </c>
      <c r="IU51" t="e">
        <f>AND(#REF!,"AAAAAD3v5/4=")</f>
        <v>#REF!</v>
      </c>
      <c r="IV51" t="e">
        <f>AND(#REF!,"AAAAAD3v5/8=")</f>
        <v>#REF!</v>
      </c>
    </row>
    <row r="52" spans="1:256" x14ac:dyDescent="0.25">
      <c r="A52" t="e">
        <f>AND(#REF!,"AAAAAG3/bQA=")</f>
        <v>#REF!</v>
      </c>
      <c r="B52" t="e">
        <f>IF(#REF!,"AAAAAG3/bQE=",0)</f>
        <v>#REF!</v>
      </c>
      <c r="C52" t="e">
        <f>AND(#REF!,"AAAAAG3/bQI=")</f>
        <v>#REF!</v>
      </c>
      <c r="D52" t="e">
        <f>AND(#REF!,"AAAAAG3/bQM=")</f>
        <v>#REF!</v>
      </c>
      <c r="E52" t="e">
        <f>AND(#REF!,"AAAAAG3/bQQ=")</f>
        <v>#REF!</v>
      </c>
      <c r="F52" t="e">
        <f>AND(#REF!,"AAAAAG3/bQU=")</f>
        <v>#REF!</v>
      </c>
      <c r="G52" t="e">
        <f>AND(#REF!,"AAAAAG3/bQY=")</f>
        <v>#REF!</v>
      </c>
      <c r="H52" t="e">
        <f>AND(#REF!,"AAAAAG3/bQc=")</f>
        <v>#REF!</v>
      </c>
      <c r="I52" t="e">
        <f>AND(#REF!,"AAAAAG3/bQg=")</f>
        <v>#REF!</v>
      </c>
      <c r="J52" t="e">
        <f>AND(#REF!,"AAAAAG3/bQk=")</f>
        <v>#REF!</v>
      </c>
      <c r="K52" t="e">
        <f>AND(#REF!,"AAAAAG3/bQo=")</f>
        <v>#REF!</v>
      </c>
      <c r="L52" t="e">
        <f>AND(#REF!,"AAAAAG3/bQs=")</f>
        <v>#REF!</v>
      </c>
      <c r="M52" t="e">
        <f>AND(#REF!,"AAAAAG3/bQw=")</f>
        <v>#REF!</v>
      </c>
      <c r="N52" t="e">
        <f>AND(#REF!,"AAAAAG3/bQ0=")</f>
        <v>#REF!</v>
      </c>
      <c r="O52" t="e">
        <f>AND(#REF!,"AAAAAG3/bQ4=")</f>
        <v>#REF!</v>
      </c>
      <c r="P52" t="e">
        <f>AND(#REF!,"AAAAAG3/bQ8=")</f>
        <v>#REF!</v>
      </c>
      <c r="Q52" t="e">
        <f>AND(#REF!,"AAAAAG3/bRA=")</f>
        <v>#REF!</v>
      </c>
      <c r="R52" t="e">
        <f>AND(#REF!,"AAAAAG3/bRE=")</f>
        <v>#REF!</v>
      </c>
      <c r="S52" t="e">
        <f>AND(#REF!,"AAAAAG3/bRI=")</f>
        <v>#REF!</v>
      </c>
      <c r="T52" t="e">
        <f>AND(#REF!,"AAAAAG3/bRM=")</f>
        <v>#REF!</v>
      </c>
      <c r="U52" t="e">
        <f>AND(#REF!,"AAAAAG3/bRQ=")</f>
        <v>#REF!</v>
      </c>
      <c r="V52" t="e">
        <f>AND(#REF!,"AAAAAG3/bRU=")</f>
        <v>#REF!</v>
      </c>
      <c r="W52" t="e">
        <f>AND(#REF!,"AAAAAG3/bRY=")</f>
        <v>#REF!</v>
      </c>
      <c r="X52" t="e">
        <f>AND(#REF!,"AAAAAG3/bRc=")</f>
        <v>#REF!</v>
      </c>
      <c r="Y52" t="e">
        <f>AND(#REF!,"AAAAAG3/bRg=")</f>
        <v>#REF!</v>
      </c>
      <c r="Z52" t="e">
        <f>AND(#REF!,"AAAAAG3/bRk=")</f>
        <v>#REF!</v>
      </c>
      <c r="AA52" t="e">
        <f>IF(#REF!,"AAAAAG3/bRo=",0)</f>
        <v>#REF!</v>
      </c>
      <c r="AB52" t="e">
        <f>AND(#REF!,"AAAAAG3/bRs=")</f>
        <v>#REF!</v>
      </c>
      <c r="AC52" t="e">
        <f>AND(#REF!,"AAAAAG3/bRw=")</f>
        <v>#REF!</v>
      </c>
      <c r="AD52" t="e">
        <f>AND(#REF!,"AAAAAG3/bR0=")</f>
        <v>#REF!</v>
      </c>
      <c r="AE52" t="e">
        <f>AND(#REF!,"AAAAAG3/bR4=")</f>
        <v>#REF!</v>
      </c>
      <c r="AF52" t="e">
        <f>AND(#REF!,"AAAAAG3/bR8=")</f>
        <v>#REF!</v>
      </c>
      <c r="AG52" t="e">
        <f>AND(#REF!,"AAAAAG3/bSA=")</f>
        <v>#REF!</v>
      </c>
      <c r="AH52" t="e">
        <f>AND(#REF!,"AAAAAG3/bSE=")</f>
        <v>#REF!</v>
      </c>
      <c r="AI52" t="e">
        <f>AND(#REF!,"AAAAAG3/bSI=")</f>
        <v>#REF!</v>
      </c>
      <c r="AJ52" t="e">
        <f>AND(#REF!,"AAAAAG3/bSM=")</f>
        <v>#REF!</v>
      </c>
      <c r="AK52" t="e">
        <f>AND(#REF!,"AAAAAG3/bSQ=")</f>
        <v>#REF!</v>
      </c>
      <c r="AL52" t="e">
        <f>AND(#REF!,"AAAAAG3/bSU=")</f>
        <v>#REF!</v>
      </c>
      <c r="AM52" t="e">
        <f>AND(#REF!,"AAAAAG3/bSY=")</f>
        <v>#REF!</v>
      </c>
      <c r="AN52" t="e">
        <f>AND(#REF!,"AAAAAG3/bSc=")</f>
        <v>#REF!</v>
      </c>
      <c r="AO52" t="e">
        <f>AND(#REF!,"AAAAAG3/bSg=")</f>
        <v>#REF!</v>
      </c>
      <c r="AP52" t="e">
        <f>AND(#REF!,"AAAAAG3/bSk=")</f>
        <v>#REF!</v>
      </c>
      <c r="AQ52" t="e">
        <f>AND(#REF!,"AAAAAG3/bSo=")</f>
        <v>#REF!</v>
      </c>
      <c r="AR52" t="e">
        <f>AND(#REF!,"AAAAAG3/bSs=")</f>
        <v>#REF!</v>
      </c>
      <c r="AS52" t="e">
        <f>AND(#REF!,"AAAAAG3/bSw=")</f>
        <v>#REF!</v>
      </c>
      <c r="AT52" t="e">
        <f>AND(#REF!,"AAAAAG3/bS0=")</f>
        <v>#REF!</v>
      </c>
      <c r="AU52" t="e">
        <f>AND(#REF!,"AAAAAG3/bS4=")</f>
        <v>#REF!</v>
      </c>
      <c r="AV52" t="e">
        <f>AND(#REF!,"AAAAAG3/bS8=")</f>
        <v>#REF!</v>
      </c>
      <c r="AW52" t="e">
        <f>AND(#REF!,"AAAAAG3/bTA=")</f>
        <v>#REF!</v>
      </c>
      <c r="AX52" t="e">
        <f>AND(#REF!,"AAAAAG3/bTE=")</f>
        <v>#REF!</v>
      </c>
      <c r="AY52" t="e">
        <f>AND(#REF!,"AAAAAG3/bTI=")</f>
        <v>#REF!</v>
      </c>
      <c r="AZ52" t="e">
        <f>IF(#REF!,"AAAAAG3/bTM=",0)</f>
        <v>#REF!</v>
      </c>
      <c r="BA52" t="e">
        <f>AND(#REF!,"AAAAAG3/bTQ=")</f>
        <v>#REF!</v>
      </c>
      <c r="BB52" t="e">
        <f>AND(#REF!,"AAAAAG3/bTU=")</f>
        <v>#REF!</v>
      </c>
      <c r="BC52" t="e">
        <f>AND(#REF!,"AAAAAG3/bTY=")</f>
        <v>#REF!</v>
      </c>
      <c r="BD52" t="e">
        <f>AND(#REF!,"AAAAAG3/bTc=")</f>
        <v>#REF!</v>
      </c>
      <c r="BE52" t="e">
        <f>AND(#REF!,"AAAAAG3/bTg=")</f>
        <v>#REF!</v>
      </c>
      <c r="BF52" t="e">
        <f>AND(#REF!,"AAAAAG3/bTk=")</f>
        <v>#REF!</v>
      </c>
      <c r="BG52" t="e">
        <f>AND(#REF!,"AAAAAG3/bTo=")</f>
        <v>#REF!</v>
      </c>
      <c r="BH52" t="e">
        <f>AND(#REF!,"AAAAAG3/bTs=")</f>
        <v>#REF!</v>
      </c>
      <c r="BI52" t="e">
        <f>AND(#REF!,"AAAAAG3/bTw=")</f>
        <v>#REF!</v>
      </c>
      <c r="BJ52" t="e">
        <f>AND(#REF!,"AAAAAG3/bT0=")</f>
        <v>#REF!</v>
      </c>
      <c r="BK52" t="e">
        <f>AND(#REF!,"AAAAAG3/bT4=")</f>
        <v>#REF!</v>
      </c>
      <c r="BL52" t="e">
        <f>AND(#REF!,"AAAAAG3/bT8=")</f>
        <v>#REF!</v>
      </c>
      <c r="BM52" t="e">
        <f>AND(#REF!,"AAAAAG3/bUA=")</f>
        <v>#REF!</v>
      </c>
      <c r="BN52" t="e">
        <f>AND(#REF!,"AAAAAG3/bUE=")</f>
        <v>#REF!</v>
      </c>
      <c r="BO52" t="e">
        <f>AND(#REF!,"AAAAAG3/bUI=")</f>
        <v>#REF!</v>
      </c>
      <c r="BP52" t="e">
        <f>AND(#REF!,"AAAAAG3/bUM=")</f>
        <v>#REF!</v>
      </c>
      <c r="BQ52" t="e">
        <f>AND(#REF!,"AAAAAG3/bUQ=")</f>
        <v>#REF!</v>
      </c>
      <c r="BR52" t="e">
        <f>AND(#REF!,"AAAAAG3/bUU=")</f>
        <v>#REF!</v>
      </c>
      <c r="BS52" t="e">
        <f>AND(#REF!,"AAAAAG3/bUY=")</f>
        <v>#REF!</v>
      </c>
      <c r="BT52" t="e">
        <f>AND(#REF!,"AAAAAG3/bUc=")</f>
        <v>#REF!</v>
      </c>
      <c r="BU52" t="e">
        <f>AND(#REF!,"AAAAAG3/bUg=")</f>
        <v>#REF!</v>
      </c>
      <c r="BV52" t="e">
        <f>AND(#REF!,"AAAAAG3/bUk=")</f>
        <v>#REF!</v>
      </c>
      <c r="BW52" t="e">
        <f>AND(#REF!,"AAAAAG3/bUo=")</f>
        <v>#REF!</v>
      </c>
      <c r="BX52" t="e">
        <f>AND(#REF!,"AAAAAG3/bUs=")</f>
        <v>#REF!</v>
      </c>
      <c r="BY52" t="e">
        <f>IF(#REF!,"AAAAAG3/bUw=",0)</f>
        <v>#REF!</v>
      </c>
      <c r="BZ52" t="e">
        <f>AND(#REF!,"AAAAAG3/bU0=")</f>
        <v>#REF!</v>
      </c>
      <c r="CA52" t="e">
        <f>AND(#REF!,"AAAAAG3/bU4=")</f>
        <v>#REF!</v>
      </c>
      <c r="CB52" t="e">
        <f>AND(#REF!,"AAAAAG3/bU8=")</f>
        <v>#REF!</v>
      </c>
      <c r="CC52" t="e">
        <f>AND(#REF!,"AAAAAG3/bVA=")</f>
        <v>#REF!</v>
      </c>
      <c r="CD52" t="e">
        <f>AND(#REF!,"AAAAAG3/bVE=")</f>
        <v>#REF!</v>
      </c>
      <c r="CE52" t="e">
        <f>AND(#REF!,"AAAAAG3/bVI=")</f>
        <v>#REF!</v>
      </c>
      <c r="CF52" t="e">
        <f>AND(#REF!,"AAAAAG3/bVM=")</f>
        <v>#REF!</v>
      </c>
      <c r="CG52" t="e">
        <f>AND(#REF!,"AAAAAG3/bVQ=")</f>
        <v>#REF!</v>
      </c>
      <c r="CH52" t="e">
        <f>AND(#REF!,"AAAAAG3/bVU=")</f>
        <v>#REF!</v>
      </c>
      <c r="CI52" t="e">
        <f>AND(#REF!,"AAAAAG3/bVY=")</f>
        <v>#REF!</v>
      </c>
      <c r="CJ52" t="e">
        <f>AND(#REF!,"AAAAAG3/bVc=")</f>
        <v>#REF!</v>
      </c>
      <c r="CK52" t="e">
        <f>AND(#REF!,"AAAAAG3/bVg=")</f>
        <v>#REF!</v>
      </c>
      <c r="CL52" t="e">
        <f>AND(#REF!,"AAAAAG3/bVk=")</f>
        <v>#REF!</v>
      </c>
      <c r="CM52" t="e">
        <f>AND(#REF!,"AAAAAG3/bVo=")</f>
        <v>#REF!</v>
      </c>
      <c r="CN52" t="e">
        <f>AND(#REF!,"AAAAAG3/bVs=")</f>
        <v>#REF!</v>
      </c>
      <c r="CO52" t="e">
        <f>AND(#REF!,"AAAAAG3/bVw=")</f>
        <v>#REF!</v>
      </c>
      <c r="CP52" t="e">
        <f>AND(#REF!,"AAAAAG3/bV0=")</f>
        <v>#REF!</v>
      </c>
      <c r="CQ52" t="e">
        <f>AND(#REF!,"AAAAAG3/bV4=")</f>
        <v>#REF!</v>
      </c>
      <c r="CR52" t="e">
        <f>AND(#REF!,"AAAAAG3/bV8=")</f>
        <v>#REF!</v>
      </c>
      <c r="CS52" t="e">
        <f>AND(#REF!,"AAAAAG3/bWA=")</f>
        <v>#REF!</v>
      </c>
      <c r="CT52" t="e">
        <f>AND(#REF!,"AAAAAG3/bWE=")</f>
        <v>#REF!</v>
      </c>
      <c r="CU52" t="e">
        <f>AND(#REF!,"AAAAAG3/bWI=")</f>
        <v>#REF!</v>
      </c>
      <c r="CV52" t="e">
        <f>AND(#REF!,"AAAAAG3/bWM=")</f>
        <v>#REF!</v>
      </c>
      <c r="CW52" t="e">
        <f>AND(#REF!,"AAAAAG3/bWQ=")</f>
        <v>#REF!</v>
      </c>
      <c r="CX52" t="e">
        <f>IF(#REF!,"AAAAAG3/bWU=",0)</f>
        <v>#REF!</v>
      </c>
      <c r="CY52" t="e">
        <f>AND(#REF!,"AAAAAG3/bWY=")</f>
        <v>#REF!</v>
      </c>
      <c r="CZ52" t="e">
        <f>AND(#REF!,"AAAAAG3/bWc=")</f>
        <v>#REF!</v>
      </c>
      <c r="DA52" t="e">
        <f>AND(#REF!,"AAAAAG3/bWg=")</f>
        <v>#REF!</v>
      </c>
      <c r="DB52" t="e">
        <f>AND(#REF!,"AAAAAG3/bWk=")</f>
        <v>#REF!</v>
      </c>
      <c r="DC52" t="e">
        <f>AND(#REF!,"AAAAAG3/bWo=")</f>
        <v>#REF!</v>
      </c>
      <c r="DD52" t="e">
        <f>AND(#REF!,"AAAAAG3/bWs=")</f>
        <v>#REF!</v>
      </c>
      <c r="DE52" t="e">
        <f>AND(#REF!,"AAAAAG3/bWw=")</f>
        <v>#REF!</v>
      </c>
      <c r="DF52" t="e">
        <f>AND(#REF!,"AAAAAG3/bW0=")</f>
        <v>#REF!</v>
      </c>
      <c r="DG52" t="e">
        <f>AND(#REF!,"AAAAAG3/bW4=")</f>
        <v>#REF!</v>
      </c>
      <c r="DH52" t="e">
        <f>AND(#REF!,"AAAAAG3/bW8=")</f>
        <v>#REF!</v>
      </c>
      <c r="DI52" t="e">
        <f>AND(#REF!,"AAAAAG3/bXA=")</f>
        <v>#REF!</v>
      </c>
      <c r="DJ52" t="e">
        <f>AND(#REF!,"AAAAAG3/bXE=")</f>
        <v>#REF!</v>
      </c>
      <c r="DK52" t="e">
        <f>AND(#REF!,"AAAAAG3/bXI=")</f>
        <v>#REF!</v>
      </c>
      <c r="DL52" t="e">
        <f>AND(#REF!,"AAAAAG3/bXM=")</f>
        <v>#REF!</v>
      </c>
      <c r="DM52" t="e">
        <f>AND(#REF!,"AAAAAG3/bXQ=")</f>
        <v>#REF!</v>
      </c>
      <c r="DN52" t="e">
        <f>AND(#REF!,"AAAAAG3/bXU=")</f>
        <v>#REF!</v>
      </c>
      <c r="DO52" t="e">
        <f>AND(#REF!,"AAAAAG3/bXY=")</f>
        <v>#REF!</v>
      </c>
      <c r="DP52" t="e">
        <f>AND(#REF!,"AAAAAG3/bXc=")</f>
        <v>#REF!</v>
      </c>
      <c r="DQ52" t="e">
        <f>AND(#REF!,"AAAAAG3/bXg=")</f>
        <v>#REF!</v>
      </c>
      <c r="DR52" t="e">
        <f>AND(#REF!,"AAAAAG3/bXk=")</f>
        <v>#REF!</v>
      </c>
      <c r="DS52" t="e">
        <f>AND(#REF!,"AAAAAG3/bXo=")</f>
        <v>#REF!</v>
      </c>
      <c r="DT52" t="e">
        <f>AND(#REF!,"AAAAAG3/bXs=")</f>
        <v>#REF!</v>
      </c>
      <c r="DU52" t="e">
        <f>AND(#REF!,"AAAAAG3/bXw=")</f>
        <v>#REF!</v>
      </c>
      <c r="DV52" t="e">
        <f>AND(#REF!,"AAAAAG3/bX0=")</f>
        <v>#REF!</v>
      </c>
      <c r="DW52" t="e">
        <f>IF(#REF!,"AAAAAG3/bX4=",0)</f>
        <v>#REF!</v>
      </c>
      <c r="DX52" t="e">
        <f>AND(#REF!,"AAAAAG3/bX8=")</f>
        <v>#REF!</v>
      </c>
      <c r="DY52" t="e">
        <f>AND(#REF!,"AAAAAG3/bYA=")</f>
        <v>#REF!</v>
      </c>
      <c r="DZ52" t="e">
        <f>AND(#REF!,"AAAAAG3/bYE=")</f>
        <v>#REF!</v>
      </c>
      <c r="EA52" t="e">
        <f>AND(#REF!,"AAAAAG3/bYI=")</f>
        <v>#REF!</v>
      </c>
      <c r="EB52" t="e">
        <f>AND(#REF!,"AAAAAG3/bYM=")</f>
        <v>#REF!</v>
      </c>
      <c r="EC52" t="e">
        <f>AND(#REF!,"AAAAAG3/bYQ=")</f>
        <v>#REF!</v>
      </c>
      <c r="ED52" t="e">
        <f>AND(#REF!,"AAAAAG3/bYU=")</f>
        <v>#REF!</v>
      </c>
      <c r="EE52" t="e">
        <f>AND(#REF!,"AAAAAG3/bYY=")</f>
        <v>#REF!</v>
      </c>
      <c r="EF52" t="e">
        <f>AND(#REF!,"AAAAAG3/bYc=")</f>
        <v>#REF!</v>
      </c>
      <c r="EG52" t="e">
        <f>AND(#REF!,"AAAAAG3/bYg=")</f>
        <v>#REF!</v>
      </c>
      <c r="EH52" t="e">
        <f>AND(#REF!,"AAAAAG3/bYk=")</f>
        <v>#REF!</v>
      </c>
      <c r="EI52" t="e">
        <f>AND(#REF!,"AAAAAG3/bYo=")</f>
        <v>#REF!</v>
      </c>
      <c r="EJ52" t="e">
        <f>AND(#REF!,"AAAAAG3/bYs=")</f>
        <v>#REF!</v>
      </c>
      <c r="EK52" t="e">
        <f>AND(#REF!,"AAAAAG3/bYw=")</f>
        <v>#REF!</v>
      </c>
      <c r="EL52" t="e">
        <f>AND(#REF!,"AAAAAG3/bY0=")</f>
        <v>#REF!</v>
      </c>
      <c r="EM52" t="e">
        <f>AND(#REF!,"AAAAAG3/bY4=")</f>
        <v>#REF!</v>
      </c>
      <c r="EN52" t="e">
        <f>AND(#REF!,"AAAAAG3/bY8=")</f>
        <v>#REF!</v>
      </c>
      <c r="EO52" t="e">
        <f>AND(#REF!,"AAAAAG3/bZA=")</f>
        <v>#REF!</v>
      </c>
      <c r="EP52" t="e">
        <f>AND(#REF!,"AAAAAG3/bZE=")</f>
        <v>#REF!</v>
      </c>
      <c r="EQ52" t="e">
        <f>AND(#REF!,"AAAAAG3/bZI=")</f>
        <v>#REF!</v>
      </c>
      <c r="ER52" t="e">
        <f>AND(#REF!,"AAAAAG3/bZM=")</f>
        <v>#REF!</v>
      </c>
      <c r="ES52" t="e">
        <f>AND(#REF!,"AAAAAG3/bZQ=")</f>
        <v>#REF!</v>
      </c>
      <c r="ET52" t="e">
        <f>AND(#REF!,"AAAAAG3/bZU=")</f>
        <v>#REF!</v>
      </c>
      <c r="EU52" t="e">
        <f>AND(#REF!,"AAAAAG3/bZY=")</f>
        <v>#REF!</v>
      </c>
      <c r="EV52" t="e">
        <f>IF(#REF!,"AAAAAG3/bZc=",0)</f>
        <v>#REF!</v>
      </c>
      <c r="EW52" t="e">
        <f>AND(#REF!,"AAAAAG3/bZg=")</f>
        <v>#REF!</v>
      </c>
      <c r="EX52" t="e">
        <f>AND(#REF!,"AAAAAG3/bZk=")</f>
        <v>#REF!</v>
      </c>
      <c r="EY52" t="e">
        <f>AND(#REF!,"AAAAAG3/bZo=")</f>
        <v>#REF!</v>
      </c>
      <c r="EZ52" t="e">
        <f>AND(#REF!,"AAAAAG3/bZs=")</f>
        <v>#REF!</v>
      </c>
      <c r="FA52" t="e">
        <f>AND(#REF!,"AAAAAG3/bZw=")</f>
        <v>#REF!</v>
      </c>
      <c r="FB52" t="e">
        <f>AND(#REF!,"AAAAAG3/bZ0=")</f>
        <v>#REF!</v>
      </c>
      <c r="FC52" t="e">
        <f>AND(#REF!,"AAAAAG3/bZ4=")</f>
        <v>#REF!</v>
      </c>
      <c r="FD52" t="e">
        <f>AND(#REF!,"AAAAAG3/bZ8=")</f>
        <v>#REF!</v>
      </c>
      <c r="FE52" t="e">
        <f>AND(#REF!,"AAAAAG3/baA=")</f>
        <v>#REF!</v>
      </c>
      <c r="FF52" t="e">
        <f>AND(#REF!,"AAAAAG3/baE=")</f>
        <v>#REF!</v>
      </c>
      <c r="FG52" t="e">
        <f>AND(#REF!,"AAAAAG3/baI=")</f>
        <v>#REF!</v>
      </c>
      <c r="FH52" t="e">
        <f>AND(#REF!,"AAAAAG3/baM=")</f>
        <v>#REF!</v>
      </c>
      <c r="FI52" t="e">
        <f>AND(#REF!,"AAAAAG3/baQ=")</f>
        <v>#REF!</v>
      </c>
      <c r="FJ52" t="e">
        <f>AND(#REF!,"AAAAAG3/baU=")</f>
        <v>#REF!</v>
      </c>
      <c r="FK52" t="e">
        <f>AND(#REF!,"AAAAAG3/baY=")</f>
        <v>#REF!</v>
      </c>
      <c r="FL52" t="e">
        <f>AND(#REF!,"AAAAAG3/bac=")</f>
        <v>#REF!</v>
      </c>
      <c r="FM52" t="e">
        <f>AND(#REF!,"AAAAAG3/bag=")</f>
        <v>#REF!</v>
      </c>
      <c r="FN52" t="e">
        <f>AND(#REF!,"AAAAAG3/bak=")</f>
        <v>#REF!</v>
      </c>
      <c r="FO52" t="e">
        <f>AND(#REF!,"AAAAAG3/bao=")</f>
        <v>#REF!</v>
      </c>
      <c r="FP52" t="e">
        <f>AND(#REF!,"AAAAAG3/bas=")</f>
        <v>#REF!</v>
      </c>
      <c r="FQ52" t="e">
        <f>AND(#REF!,"AAAAAG3/baw=")</f>
        <v>#REF!</v>
      </c>
      <c r="FR52" t="e">
        <f>AND(#REF!,"AAAAAG3/ba0=")</f>
        <v>#REF!</v>
      </c>
      <c r="FS52" t="e">
        <f>AND(#REF!,"AAAAAG3/ba4=")</f>
        <v>#REF!</v>
      </c>
      <c r="FT52" t="e">
        <f>AND(#REF!,"AAAAAG3/ba8=")</f>
        <v>#REF!</v>
      </c>
      <c r="FU52" t="e">
        <f>IF(#REF!,"AAAAAG3/bbA=",0)</f>
        <v>#REF!</v>
      </c>
      <c r="FV52" t="e">
        <f>AND(#REF!,"AAAAAG3/bbE=")</f>
        <v>#REF!</v>
      </c>
      <c r="FW52" t="e">
        <f>AND(#REF!,"AAAAAG3/bbI=")</f>
        <v>#REF!</v>
      </c>
      <c r="FX52" t="e">
        <f>AND(#REF!,"AAAAAG3/bbM=")</f>
        <v>#REF!</v>
      </c>
      <c r="FY52" t="e">
        <f>AND(#REF!,"AAAAAG3/bbQ=")</f>
        <v>#REF!</v>
      </c>
      <c r="FZ52" t="e">
        <f>AND(#REF!,"AAAAAG3/bbU=")</f>
        <v>#REF!</v>
      </c>
      <c r="GA52" t="e">
        <f>AND(#REF!,"AAAAAG3/bbY=")</f>
        <v>#REF!</v>
      </c>
      <c r="GB52" t="e">
        <f>AND(#REF!,"AAAAAG3/bbc=")</f>
        <v>#REF!</v>
      </c>
      <c r="GC52" t="e">
        <f>AND(#REF!,"AAAAAG3/bbg=")</f>
        <v>#REF!</v>
      </c>
      <c r="GD52" t="e">
        <f>AND(#REF!,"AAAAAG3/bbk=")</f>
        <v>#REF!</v>
      </c>
      <c r="GE52" t="e">
        <f>AND(#REF!,"AAAAAG3/bbo=")</f>
        <v>#REF!</v>
      </c>
      <c r="GF52" t="e">
        <f>AND(#REF!,"AAAAAG3/bbs=")</f>
        <v>#REF!</v>
      </c>
      <c r="GG52" t="e">
        <f>AND(#REF!,"AAAAAG3/bbw=")</f>
        <v>#REF!</v>
      </c>
      <c r="GH52" t="e">
        <f>AND(#REF!,"AAAAAG3/bb0=")</f>
        <v>#REF!</v>
      </c>
      <c r="GI52" t="e">
        <f>AND(#REF!,"AAAAAG3/bb4=")</f>
        <v>#REF!</v>
      </c>
      <c r="GJ52" t="e">
        <f>AND(#REF!,"AAAAAG3/bb8=")</f>
        <v>#REF!</v>
      </c>
      <c r="GK52" t="e">
        <f>AND(#REF!,"AAAAAG3/bcA=")</f>
        <v>#REF!</v>
      </c>
      <c r="GL52" t="e">
        <f>AND(#REF!,"AAAAAG3/bcE=")</f>
        <v>#REF!</v>
      </c>
      <c r="GM52" t="e">
        <f>AND(#REF!,"AAAAAG3/bcI=")</f>
        <v>#REF!</v>
      </c>
      <c r="GN52" t="e">
        <f>AND(#REF!,"AAAAAG3/bcM=")</f>
        <v>#REF!</v>
      </c>
      <c r="GO52" t="e">
        <f>AND(#REF!,"AAAAAG3/bcQ=")</f>
        <v>#REF!</v>
      </c>
      <c r="GP52" t="e">
        <f>AND(#REF!,"AAAAAG3/bcU=")</f>
        <v>#REF!</v>
      </c>
      <c r="GQ52" t="e">
        <f>AND(#REF!,"AAAAAG3/bcY=")</f>
        <v>#REF!</v>
      </c>
      <c r="GR52" t="e">
        <f>AND(#REF!,"AAAAAG3/bcc=")</f>
        <v>#REF!</v>
      </c>
      <c r="GS52" t="e">
        <f>AND(#REF!,"AAAAAG3/bcg=")</f>
        <v>#REF!</v>
      </c>
      <c r="GT52" t="e">
        <f>IF(#REF!,"AAAAAG3/bck=",0)</f>
        <v>#REF!</v>
      </c>
      <c r="GU52" t="e">
        <f>AND(#REF!,"AAAAAG3/bco=")</f>
        <v>#REF!</v>
      </c>
      <c r="GV52" t="e">
        <f>AND(#REF!,"AAAAAG3/bcs=")</f>
        <v>#REF!</v>
      </c>
      <c r="GW52" t="e">
        <f>AND(#REF!,"AAAAAG3/bcw=")</f>
        <v>#REF!</v>
      </c>
      <c r="GX52" t="e">
        <f>AND(#REF!,"AAAAAG3/bc0=")</f>
        <v>#REF!</v>
      </c>
      <c r="GY52" t="e">
        <f>AND(#REF!,"AAAAAG3/bc4=")</f>
        <v>#REF!</v>
      </c>
      <c r="GZ52" t="e">
        <f>AND(#REF!,"AAAAAG3/bc8=")</f>
        <v>#REF!</v>
      </c>
      <c r="HA52" t="e">
        <f>AND(#REF!,"AAAAAG3/bdA=")</f>
        <v>#REF!</v>
      </c>
      <c r="HB52" t="e">
        <f>AND(#REF!,"AAAAAG3/bdE=")</f>
        <v>#REF!</v>
      </c>
      <c r="HC52" t="e">
        <f>AND(#REF!,"AAAAAG3/bdI=")</f>
        <v>#REF!</v>
      </c>
      <c r="HD52" t="e">
        <f>AND(#REF!,"AAAAAG3/bdM=")</f>
        <v>#REF!</v>
      </c>
      <c r="HE52" t="e">
        <f>AND(#REF!,"AAAAAG3/bdQ=")</f>
        <v>#REF!</v>
      </c>
      <c r="HF52" t="e">
        <f>AND(#REF!,"AAAAAG3/bdU=")</f>
        <v>#REF!</v>
      </c>
      <c r="HG52" t="e">
        <f>AND(#REF!,"AAAAAG3/bdY=")</f>
        <v>#REF!</v>
      </c>
      <c r="HH52" t="e">
        <f>AND(#REF!,"AAAAAG3/bdc=")</f>
        <v>#REF!</v>
      </c>
      <c r="HI52" t="e">
        <f>AND(#REF!,"AAAAAG3/bdg=")</f>
        <v>#REF!</v>
      </c>
      <c r="HJ52" t="e">
        <f>AND(#REF!,"AAAAAG3/bdk=")</f>
        <v>#REF!</v>
      </c>
      <c r="HK52" t="e">
        <f>AND(#REF!,"AAAAAG3/bdo=")</f>
        <v>#REF!</v>
      </c>
      <c r="HL52" t="e">
        <f>AND(#REF!,"AAAAAG3/bds=")</f>
        <v>#REF!</v>
      </c>
      <c r="HM52" t="e">
        <f>AND(#REF!,"AAAAAG3/bdw=")</f>
        <v>#REF!</v>
      </c>
      <c r="HN52" t="e">
        <f>AND(#REF!,"AAAAAG3/bd0=")</f>
        <v>#REF!</v>
      </c>
      <c r="HO52" t="e">
        <f>AND(#REF!,"AAAAAG3/bd4=")</f>
        <v>#REF!</v>
      </c>
      <c r="HP52" t="e">
        <f>AND(#REF!,"AAAAAG3/bd8=")</f>
        <v>#REF!</v>
      </c>
      <c r="HQ52" t="e">
        <f>AND(#REF!,"AAAAAG3/beA=")</f>
        <v>#REF!</v>
      </c>
      <c r="HR52" t="e">
        <f>AND(#REF!,"AAAAAG3/beE=")</f>
        <v>#REF!</v>
      </c>
      <c r="HS52" t="e">
        <f>IF(#REF!,"AAAAAG3/beI=",0)</f>
        <v>#REF!</v>
      </c>
      <c r="HT52" t="e">
        <f>AND(#REF!,"AAAAAG3/beM=")</f>
        <v>#REF!</v>
      </c>
      <c r="HU52" t="e">
        <f>AND(#REF!,"AAAAAG3/beQ=")</f>
        <v>#REF!</v>
      </c>
      <c r="HV52" t="e">
        <f>AND(#REF!,"AAAAAG3/beU=")</f>
        <v>#REF!</v>
      </c>
      <c r="HW52" t="e">
        <f>AND(#REF!,"AAAAAG3/beY=")</f>
        <v>#REF!</v>
      </c>
      <c r="HX52" t="e">
        <f>AND(#REF!,"AAAAAG3/bec=")</f>
        <v>#REF!</v>
      </c>
      <c r="HY52" t="e">
        <f>AND(#REF!,"AAAAAG3/beg=")</f>
        <v>#REF!</v>
      </c>
      <c r="HZ52" t="e">
        <f>AND(#REF!,"AAAAAG3/bek=")</f>
        <v>#REF!</v>
      </c>
      <c r="IA52" t="e">
        <f>AND(#REF!,"AAAAAG3/beo=")</f>
        <v>#REF!</v>
      </c>
      <c r="IB52" t="e">
        <f>AND(#REF!,"AAAAAG3/bes=")</f>
        <v>#REF!</v>
      </c>
      <c r="IC52" t="e">
        <f>AND(#REF!,"AAAAAG3/bew=")</f>
        <v>#REF!</v>
      </c>
      <c r="ID52" t="e">
        <f>AND(#REF!,"AAAAAG3/be0=")</f>
        <v>#REF!</v>
      </c>
      <c r="IE52" t="e">
        <f>AND(#REF!,"AAAAAG3/be4=")</f>
        <v>#REF!</v>
      </c>
      <c r="IF52" t="e">
        <f>AND(#REF!,"AAAAAG3/be8=")</f>
        <v>#REF!</v>
      </c>
      <c r="IG52" t="e">
        <f>AND(#REF!,"AAAAAG3/bfA=")</f>
        <v>#REF!</v>
      </c>
      <c r="IH52" t="e">
        <f>AND(#REF!,"AAAAAG3/bfE=")</f>
        <v>#REF!</v>
      </c>
      <c r="II52" t="e">
        <f>AND(#REF!,"AAAAAG3/bfI=")</f>
        <v>#REF!</v>
      </c>
      <c r="IJ52" t="e">
        <f>AND(#REF!,"AAAAAG3/bfM=")</f>
        <v>#REF!</v>
      </c>
      <c r="IK52" t="e">
        <f>AND(#REF!,"AAAAAG3/bfQ=")</f>
        <v>#REF!</v>
      </c>
      <c r="IL52" t="e">
        <f>AND(#REF!,"AAAAAG3/bfU=")</f>
        <v>#REF!</v>
      </c>
      <c r="IM52" t="e">
        <f>AND(#REF!,"AAAAAG3/bfY=")</f>
        <v>#REF!</v>
      </c>
      <c r="IN52" t="e">
        <f>AND(#REF!,"AAAAAG3/bfc=")</f>
        <v>#REF!</v>
      </c>
      <c r="IO52" t="e">
        <f>AND(#REF!,"AAAAAG3/bfg=")</f>
        <v>#REF!</v>
      </c>
      <c r="IP52" t="e">
        <f>AND(#REF!,"AAAAAG3/bfk=")</f>
        <v>#REF!</v>
      </c>
      <c r="IQ52" t="e">
        <f>AND(#REF!,"AAAAAG3/bfo=")</f>
        <v>#REF!</v>
      </c>
      <c r="IR52" t="e">
        <f>IF(#REF!,"AAAAAG3/bfs=",0)</f>
        <v>#REF!</v>
      </c>
      <c r="IS52" t="e">
        <f>AND(#REF!,"AAAAAG3/bfw=")</f>
        <v>#REF!</v>
      </c>
      <c r="IT52" t="e">
        <f>AND(#REF!,"AAAAAG3/bf0=")</f>
        <v>#REF!</v>
      </c>
      <c r="IU52" t="e">
        <f>AND(#REF!,"AAAAAG3/bf4=")</f>
        <v>#REF!</v>
      </c>
      <c r="IV52" t="e">
        <f>AND(#REF!,"AAAAAG3/bf8=")</f>
        <v>#REF!</v>
      </c>
    </row>
    <row r="53" spans="1:256" x14ac:dyDescent="0.25">
      <c r="A53" t="e">
        <f>AND(#REF!,"AAAAAC//1wA=")</f>
        <v>#REF!</v>
      </c>
      <c r="B53" t="e">
        <f>AND(#REF!,"AAAAAC//1wE=")</f>
        <v>#REF!</v>
      </c>
      <c r="C53" t="e">
        <f>AND(#REF!,"AAAAAC//1wI=")</f>
        <v>#REF!</v>
      </c>
      <c r="D53" t="e">
        <f>AND(#REF!,"AAAAAC//1wM=")</f>
        <v>#REF!</v>
      </c>
      <c r="E53" t="e">
        <f>AND(#REF!,"AAAAAC//1wQ=")</f>
        <v>#REF!</v>
      </c>
      <c r="F53" t="e">
        <f>AND(#REF!,"AAAAAC//1wU=")</f>
        <v>#REF!</v>
      </c>
      <c r="G53" t="e">
        <f>AND(#REF!,"AAAAAC//1wY=")</f>
        <v>#REF!</v>
      </c>
      <c r="H53" t="e">
        <f>AND(#REF!,"AAAAAC//1wc=")</f>
        <v>#REF!</v>
      </c>
      <c r="I53" t="e">
        <f>AND(#REF!,"AAAAAC//1wg=")</f>
        <v>#REF!</v>
      </c>
      <c r="J53" t="e">
        <f>AND(#REF!,"AAAAAC//1wk=")</f>
        <v>#REF!</v>
      </c>
      <c r="K53" t="e">
        <f>AND(#REF!,"AAAAAC//1wo=")</f>
        <v>#REF!</v>
      </c>
      <c r="L53" t="e">
        <f>AND(#REF!,"AAAAAC//1ws=")</f>
        <v>#REF!</v>
      </c>
      <c r="M53" t="e">
        <f>AND(#REF!,"AAAAAC//1ww=")</f>
        <v>#REF!</v>
      </c>
      <c r="N53" t="e">
        <f>AND(#REF!,"AAAAAC//1w0=")</f>
        <v>#REF!</v>
      </c>
      <c r="O53" t="e">
        <f>AND(#REF!,"AAAAAC//1w4=")</f>
        <v>#REF!</v>
      </c>
      <c r="P53" t="e">
        <f>AND(#REF!,"AAAAAC//1w8=")</f>
        <v>#REF!</v>
      </c>
      <c r="Q53" t="e">
        <f>AND(#REF!,"AAAAAC//1xA=")</f>
        <v>#REF!</v>
      </c>
      <c r="R53" t="e">
        <f>AND(#REF!,"AAAAAC//1xE=")</f>
        <v>#REF!</v>
      </c>
      <c r="S53" t="e">
        <f>AND(#REF!,"AAAAAC//1xI=")</f>
        <v>#REF!</v>
      </c>
      <c r="T53" t="e">
        <f>AND(#REF!,"AAAAAC//1xM=")</f>
        <v>#REF!</v>
      </c>
      <c r="U53" t="e">
        <f>IF(#REF!,"AAAAAC//1xQ=",0)</f>
        <v>#REF!</v>
      </c>
      <c r="V53" t="e">
        <f>AND(#REF!,"AAAAAC//1xU=")</f>
        <v>#REF!</v>
      </c>
      <c r="W53" t="e">
        <f>AND(#REF!,"AAAAAC//1xY=")</f>
        <v>#REF!</v>
      </c>
      <c r="X53" t="e">
        <f>AND(#REF!,"AAAAAC//1xc=")</f>
        <v>#REF!</v>
      </c>
      <c r="Y53" t="e">
        <f>AND(#REF!,"AAAAAC//1xg=")</f>
        <v>#REF!</v>
      </c>
      <c r="Z53" t="e">
        <f>AND(#REF!,"AAAAAC//1xk=")</f>
        <v>#REF!</v>
      </c>
      <c r="AA53" t="e">
        <f>AND(#REF!,"AAAAAC//1xo=")</f>
        <v>#REF!</v>
      </c>
      <c r="AB53" t="e">
        <f>AND(#REF!,"AAAAAC//1xs=")</f>
        <v>#REF!</v>
      </c>
      <c r="AC53" t="e">
        <f>AND(#REF!,"AAAAAC//1xw=")</f>
        <v>#REF!</v>
      </c>
      <c r="AD53" t="e">
        <f>AND(#REF!,"AAAAAC//1x0=")</f>
        <v>#REF!</v>
      </c>
      <c r="AE53" t="e">
        <f>AND(#REF!,"AAAAAC//1x4=")</f>
        <v>#REF!</v>
      </c>
      <c r="AF53" t="e">
        <f>AND(#REF!,"AAAAAC//1x8=")</f>
        <v>#REF!</v>
      </c>
      <c r="AG53" t="e">
        <f>AND(#REF!,"AAAAAC//1yA=")</f>
        <v>#REF!</v>
      </c>
      <c r="AH53" t="e">
        <f>AND(#REF!,"AAAAAC//1yE=")</f>
        <v>#REF!</v>
      </c>
      <c r="AI53" t="e">
        <f>AND(#REF!,"AAAAAC//1yI=")</f>
        <v>#REF!</v>
      </c>
      <c r="AJ53" t="e">
        <f>AND(#REF!,"AAAAAC//1yM=")</f>
        <v>#REF!</v>
      </c>
      <c r="AK53" t="e">
        <f>AND(#REF!,"AAAAAC//1yQ=")</f>
        <v>#REF!</v>
      </c>
      <c r="AL53" t="e">
        <f>AND(#REF!,"AAAAAC//1yU=")</f>
        <v>#REF!</v>
      </c>
      <c r="AM53" t="e">
        <f>AND(#REF!,"AAAAAC//1yY=")</f>
        <v>#REF!</v>
      </c>
      <c r="AN53" t="e">
        <f>AND(#REF!,"AAAAAC//1yc=")</f>
        <v>#REF!</v>
      </c>
      <c r="AO53" t="e">
        <f>AND(#REF!,"AAAAAC//1yg=")</f>
        <v>#REF!</v>
      </c>
      <c r="AP53" t="e">
        <f>AND(#REF!,"AAAAAC//1yk=")</f>
        <v>#REF!</v>
      </c>
      <c r="AQ53" t="e">
        <f>AND(#REF!,"AAAAAC//1yo=")</f>
        <v>#REF!</v>
      </c>
      <c r="AR53" t="e">
        <f>AND(#REF!,"AAAAAC//1ys=")</f>
        <v>#REF!</v>
      </c>
      <c r="AS53" t="e">
        <f>AND(#REF!,"AAAAAC//1yw=")</f>
        <v>#REF!</v>
      </c>
      <c r="AT53" t="e">
        <f>IF(#REF!,"AAAAAC//1y0=",0)</f>
        <v>#REF!</v>
      </c>
      <c r="AU53" t="e">
        <f>AND(#REF!,"AAAAAC//1y4=")</f>
        <v>#REF!</v>
      </c>
      <c r="AV53" t="e">
        <f>AND(#REF!,"AAAAAC//1y8=")</f>
        <v>#REF!</v>
      </c>
      <c r="AW53" t="e">
        <f>AND(#REF!,"AAAAAC//1zA=")</f>
        <v>#REF!</v>
      </c>
      <c r="AX53" t="e">
        <f>AND(#REF!,"AAAAAC//1zE=")</f>
        <v>#REF!</v>
      </c>
      <c r="AY53" t="e">
        <f>AND(#REF!,"AAAAAC//1zI=")</f>
        <v>#REF!</v>
      </c>
      <c r="AZ53" t="e">
        <f>AND(#REF!,"AAAAAC//1zM=")</f>
        <v>#REF!</v>
      </c>
      <c r="BA53" t="e">
        <f>AND(#REF!,"AAAAAC//1zQ=")</f>
        <v>#REF!</v>
      </c>
      <c r="BB53" t="e">
        <f>AND(#REF!,"AAAAAC//1zU=")</f>
        <v>#REF!</v>
      </c>
      <c r="BC53" t="e">
        <f>AND(#REF!,"AAAAAC//1zY=")</f>
        <v>#REF!</v>
      </c>
      <c r="BD53" t="e">
        <f>AND(#REF!,"AAAAAC//1zc=")</f>
        <v>#REF!</v>
      </c>
      <c r="BE53" t="e">
        <f>AND(#REF!,"AAAAAC//1zg=")</f>
        <v>#REF!</v>
      </c>
      <c r="BF53" t="e">
        <f>AND(#REF!,"AAAAAC//1zk=")</f>
        <v>#REF!</v>
      </c>
      <c r="BG53" t="e">
        <f>AND(#REF!,"AAAAAC//1zo=")</f>
        <v>#REF!</v>
      </c>
      <c r="BH53" t="e">
        <f>AND(#REF!,"AAAAAC//1zs=")</f>
        <v>#REF!</v>
      </c>
      <c r="BI53" t="e">
        <f>AND(#REF!,"AAAAAC//1zw=")</f>
        <v>#REF!</v>
      </c>
      <c r="BJ53" t="e">
        <f>AND(#REF!,"AAAAAC//1z0=")</f>
        <v>#REF!</v>
      </c>
      <c r="BK53" t="e">
        <f>AND(#REF!,"AAAAAC//1z4=")</f>
        <v>#REF!</v>
      </c>
      <c r="BL53" t="e">
        <f>AND(#REF!,"AAAAAC//1z8=")</f>
        <v>#REF!</v>
      </c>
      <c r="BM53" t="e">
        <f>AND(#REF!,"AAAAAC//10A=")</f>
        <v>#REF!</v>
      </c>
      <c r="BN53" t="e">
        <f>AND(#REF!,"AAAAAC//10E=")</f>
        <v>#REF!</v>
      </c>
      <c r="BO53" t="e">
        <f>AND(#REF!,"AAAAAC//10I=")</f>
        <v>#REF!</v>
      </c>
      <c r="BP53" t="e">
        <f>AND(#REF!,"AAAAAC//10M=")</f>
        <v>#REF!</v>
      </c>
      <c r="BQ53" t="e">
        <f>AND(#REF!,"AAAAAC//10Q=")</f>
        <v>#REF!</v>
      </c>
      <c r="BR53" t="e">
        <f>AND(#REF!,"AAAAAC//10U=")</f>
        <v>#REF!</v>
      </c>
      <c r="BS53" t="e">
        <f>IF(#REF!,"AAAAAC//10Y=",0)</f>
        <v>#REF!</v>
      </c>
      <c r="BT53" t="e">
        <f>AND(#REF!,"AAAAAC//10c=")</f>
        <v>#REF!</v>
      </c>
      <c r="BU53" t="e">
        <f>AND(#REF!,"AAAAAC//10g=")</f>
        <v>#REF!</v>
      </c>
      <c r="BV53" t="e">
        <f>AND(#REF!,"AAAAAC//10k=")</f>
        <v>#REF!</v>
      </c>
      <c r="BW53" t="e">
        <f>AND(#REF!,"AAAAAC//10o=")</f>
        <v>#REF!</v>
      </c>
      <c r="BX53" t="e">
        <f>AND(#REF!,"AAAAAC//10s=")</f>
        <v>#REF!</v>
      </c>
      <c r="BY53" t="e">
        <f>AND(#REF!,"AAAAAC//10w=")</f>
        <v>#REF!</v>
      </c>
      <c r="BZ53" t="e">
        <f>AND(#REF!,"AAAAAC//100=")</f>
        <v>#REF!</v>
      </c>
      <c r="CA53" t="e">
        <f>AND(#REF!,"AAAAAC//104=")</f>
        <v>#REF!</v>
      </c>
      <c r="CB53" t="e">
        <f>AND(#REF!,"AAAAAC//108=")</f>
        <v>#REF!</v>
      </c>
      <c r="CC53" t="e">
        <f>AND(#REF!,"AAAAAC//11A=")</f>
        <v>#REF!</v>
      </c>
      <c r="CD53" t="e">
        <f>AND(#REF!,"AAAAAC//11E=")</f>
        <v>#REF!</v>
      </c>
      <c r="CE53" t="e">
        <f>AND(#REF!,"AAAAAC//11I=")</f>
        <v>#REF!</v>
      </c>
      <c r="CF53" t="e">
        <f>AND(#REF!,"AAAAAC//11M=")</f>
        <v>#REF!</v>
      </c>
      <c r="CG53" t="e">
        <f>AND(#REF!,"AAAAAC//11Q=")</f>
        <v>#REF!</v>
      </c>
      <c r="CH53" t="e">
        <f>AND(#REF!,"AAAAAC//11U=")</f>
        <v>#REF!</v>
      </c>
      <c r="CI53" t="e">
        <f>AND(#REF!,"AAAAAC//11Y=")</f>
        <v>#REF!</v>
      </c>
      <c r="CJ53" t="e">
        <f>AND(#REF!,"AAAAAC//11c=")</f>
        <v>#REF!</v>
      </c>
      <c r="CK53" t="e">
        <f>AND(#REF!,"AAAAAC//11g=")</f>
        <v>#REF!</v>
      </c>
      <c r="CL53" t="e">
        <f>AND(#REF!,"AAAAAC//11k=")</f>
        <v>#REF!</v>
      </c>
      <c r="CM53" t="e">
        <f>AND(#REF!,"AAAAAC//11o=")</f>
        <v>#REF!</v>
      </c>
      <c r="CN53" t="e">
        <f>AND(#REF!,"AAAAAC//11s=")</f>
        <v>#REF!</v>
      </c>
      <c r="CO53" t="e">
        <f>AND(#REF!,"AAAAAC//11w=")</f>
        <v>#REF!</v>
      </c>
      <c r="CP53" t="e">
        <f>AND(#REF!,"AAAAAC//110=")</f>
        <v>#REF!</v>
      </c>
      <c r="CQ53" t="e">
        <f>AND(#REF!,"AAAAAC//114=")</f>
        <v>#REF!</v>
      </c>
      <c r="CR53" t="e">
        <f>IF(#REF!,"AAAAAC//118=",0)</f>
        <v>#REF!</v>
      </c>
      <c r="CS53" t="e">
        <f>AND(#REF!,"AAAAAC//12A=")</f>
        <v>#REF!</v>
      </c>
      <c r="CT53" t="e">
        <f>AND(#REF!,"AAAAAC//12E=")</f>
        <v>#REF!</v>
      </c>
      <c r="CU53" t="e">
        <f>AND(#REF!,"AAAAAC//12I=")</f>
        <v>#REF!</v>
      </c>
      <c r="CV53" t="e">
        <f>AND(#REF!,"AAAAAC//12M=")</f>
        <v>#REF!</v>
      </c>
      <c r="CW53" t="e">
        <f>AND(#REF!,"AAAAAC//12Q=")</f>
        <v>#REF!</v>
      </c>
      <c r="CX53" t="e">
        <f>AND(#REF!,"AAAAAC//12U=")</f>
        <v>#REF!</v>
      </c>
      <c r="CY53" t="e">
        <f>AND(#REF!,"AAAAAC//12Y=")</f>
        <v>#REF!</v>
      </c>
      <c r="CZ53" t="e">
        <f>AND(#REF!,"AAAAAC//12c=")</f>
        <v>#REF!</v>
      </c>
      <c r="DA53" t="e">
        <f>AND(#REF!,"AAAAAC//12g=")</f>
        <v>#REF!</v>
      </c>
      <c r="DB53" t="e">
        <f>AND(#REF!,"AAAAAC//12k=")</f>
        <v>#REF!</v>
      </c>
      <c r="DC53" t="e">
        <f>AND(#REF!,"AAAAAC//12o=")</f>
        <v>#REF!</v>
      </c>
      <c r="DD53" t="e">
        <f>AND(#REF!,"AAAAAC//12s=")</f>
        <v>#REF!</v>
      </c>
      <c r="DE53" t="e">
        <f>AND(#REF!,"AAAAAC//12w=")</f>
        <v>#REF!</v>
      </c>
      <c r="DF53" t="e">
        <f>AND(#REF!,"AAAAAC//120=")</f>
        <v>#REF!</v>
      </c>
      <c r="DG53" t="e">
        <f>AND(#REF!,"AAAAAC//124=")</f>
        <v>#REF!</v>
      </c>
      <c r="DH53" t="e">
        <f>AND(#REF!,"AAAAAC//128=")</f>
        <v>#REF!</v>
      </c>
      <c r="DI53" t="e">
        <f>AND(#REF!,"AAAAAC//13A=")</f>
        <v>#REF!</v>
      </c>
      <c r="DJ53" t="e">
        <f>AND(#REF!,"AAAAAC//13E=")</f>
        <v>#REF!</v>
      </c>
      <c r="DK53" t="e">
        <f>AND(#REF!,"AAAAAC//13I=")</f>
        <v>#REF!</v>
      </c>
      <c r="DL53" t="e">
        <f>AND(#REF!,"AAAAAC//13M=")</f>
        <v>#REF!</v>
      </c>
      <c r="DM53" t="e">
        <f>AND(#REF!,"AAAAAC//13Q=")</f>
        <v>#REF!</v>
      </c>
      <c r="DN53" t="e">
        <f>AND(#REF!,"AAAAAC//13U=")</f>
        <v>#REF!</v>
      </c>
      <c r="DO53" t="e">
        <f>AND(#REF!,"AAAAAC//13Y=")</f>
        <v>#REF!</v>
      </c>
      <c r="DP53" t="e">
        <f>AND(#REF!,"AAAAAC//13c=")</f>
        <v>#REF!</v>
      </c>
      <c r="DQ53" t="e">
        <f>IF(#REF!,"AAAAAC//13g=",0)</f>
        <v>#REF!</v>
      </c>
      <c r="DR53" t="e">
        <f>AND(#REF!,"AAAAAC//13k=")</f>
        <v>#REF!</v>
      </c>
      <c r="DS53" t="e">
        <f>AND(#REF!,"AAAAAC//13o=")</f>
        <v>#REF!</v>
      </c>
      <c r="DT53" t="e">
        <f>AND(#REF!,"AAAAAC//13s=")</f>
        <v>#REF!</v>
      </c>
      <c r="DU53" t="e">
        <f>AND(#REF!,"AAAAAC//13w=")</f>
        <v>#REF!</v>
      </c>
      <c r="DV53" t="e">
        <f>AND(#REF!,"AAAAAC//130=")</f>
        <v>#REF!</v>
      </c>
      <c r="DW53" t="e">
        <f>AND(#REF!,"AAAAAC//134=")</f>
        <v>#REF!</v>
      </c>
      <c r="DX53" t="e">
        <f>AND(#REF!,"AAAAAC//138=")</f>
        <v>#REF!</v>
      </c>
      <c r="DY53" t="e">
        <f>AND(#REF!,"AAAAAC//14A=")</f>
        <v>#REF!</v>
      </c>
      <c r="DZ53" t="e">
        <f>AND(#REF!,"AAAAAC//14E=")</f>
        <v>#REF!</v>
      </c>
      <c r="EA53" t="e">
        <f>AND(#REF!,"AAAAAC//14I=")</f>
        <v>#REF!</v>
      </c>
      <c r="EB53" t="e">
        <f>AND(#REF!,"AAAAAC//14M=")</f>
        <v>#REF!</v>
      </c>
      <c r="EC53" t="e">
        <f>AND(#REF!,"AAAAAC//14Q=")</f>
        <v>#REF!</v>
      </c>
      <c r="ED53" t="e">
        <f>AND(#REF!,"AAAAAC//14U=")</f>
        <v>#REF!</v>
      </c>
      <c r="EE53" t="e">
        <f>AND(#REF!,"AAAAAC//14Y=")</f>
        <v>#REF!</v>
      </c>
      <c r="EF53" t="e">
        <f>AND(#REF!,"AAAAAC//14c=")</f>
        <v>#REF!</v>
      </c>
      <c r="EG53" t="e">
        <f>AND(#REF!,"AAAAAC//14g=")</f>
        <v>#REF!</v>
      </c>
      <c r="EH53" t="e">
        <f>AND(#REF!,"AAAAAC//14k=")</f>
        <v>#REF!</v>
      </c>
      <c r="EI53" t="e">
        <f>AND(#REF!,"AAAAAC//14o=")</f>
        <v>#REF!</v>
      </c>
      <c r="EJ53" t="e">
        <f>AND(#REF!,"AAAAAC//14s=")</f>
        <v>#REF!</v>
      </c>
      <c r="EK53" t="e">
        <f>AND(#REF!,"AAAAAC//14w=")</f>
        <v>#REF!</v>
      </c>
      <c r="EL53" t="e">
        <f>AND(#REF!,"AAAAAC//140=")</f>
        <v>#REF!</v>
      </c>
      <c r="EM53" t="e">
        <f>AND(#REF!,"AAAAAC//144=")</f>
        <v>#REF!</v>
      </c>
      <c r="EN53" t="e">
        <f>AND(#REF!,"AAAAAC//148=")</f>
        <v>#REF!</v>
      </c>
      <c r="EO53" t="e">
        <f>AND(#REF!,"AAAAAC//15A=")</f>
        <v>#REF!</v>
      </c>
      <c r="EP53" t="e">
        <f>IF(#REF!,"AAAAAC//15E=",0)</f>
        <v>#REF!</v>
      </c>
      <c r="EQ53" t="e">
        <f>AND(#REF!,"AAAAAC//15I=")</f>
        <v>#REF!</v>
      </c>
      <c r="ER53" t="e">
        <f>AND(#REF!,"AAAAAC//15M=")</f>
        <v>#REF!</v>
      </c>
      <c r="ES53" t="e">
        <f>AND(#REF!,"AAAAAC//15Q=")</f>
        <v>#REF!</v>
      </c>
      <c r="ET53" t="e">
        <f>AND(#REF!,"AAAAAC//15U=")</f>
        <v>#REF!</v>
      </c>
      <c r="EU53" t="e">
        <f>AND(#REF!,"AAAAAC//15Y=")</f>
        <v>#REF!</v>
      </c>
      <c r="EV53" t="e">
        <f>AND(#REF!,"AAAAAC//15c=")</f>
        <v>#REF!</v>
      </c>
      <c r="EW53" t="e">
        <f>AND(#REF!,"AAAAAC//15g=")</f>
        <v>#REF!</v>
      </c>
      <c r="EX53" t="e">
        <f>AND(#REF!,"AAAAAC//15k=")</f>
        <v>#REF!</v>
      </c>
      <c r="EY53" t="e">
        <f>AND(#REF!,"AAAAAC//15o=")</f>
        <v>#REF!</v>
      </c>
      <c r="EZ53" t="e">
        <f>AND(#REF!,"AAAAAC//15s=")</f>
        <v>#REF!</v>
      </c>
      <c r="FA53" t="e">
        <f>AND(#REF!,"AAAAAC//15w=")</f>
        <v>#REF!</v>
      </c>
      <c r="FB53" t="e">
        <f>AND(#REF!,"AAAAAC//150=")</f>
        <v>#REF!</v>
      </c>
      <c r="FC53" t="e">
        <f>AND(#REF!,"AAAAAC//154=")</f>
        <v>#REF!</v>
      </c>
      <c r="FD53" t="e">
        <f>AND(#REF!,"AAAAAC//158=")</f>
        <v>#REF!</v>
      </c>
      <c r="FE53" t="e">
        <f>AND(#REF!,"AAAAAC//16A=")</f>
        <v>#REF!</v>
      </c>
      <c r="FF53" t="e">
        <f>AND(#REF!,"AAAAAC//16E=")</f>
        <v>#REF!</v>
      </c>
      <c r="FG53" t="e">
        <f>AND(#REF!,"AAAAAC//16I=")</f>
        <v>#REF!</v>
      </c>
      <c r="FH53" t="e">
        <f>AND(#REF!,"AAAAAC//16M=")</f>
        <v>#REF!</v>
      </c>
      <c r="FI53" t="e">
        <f>AND(#REF!,"AAAAAC//16Q=")</f>
        <v>#REF!</v>
      </c>
      <c r="FJ53" t="e">
        <f>AND(#REF!,"AAAAAC//16U=")</f>
        <v>#REF!</v>
      </c>
      <c r="FK53" t="e">
        <f>AND(#REF!,"AAAAAC//16Y=")</f>
        <v>#REF!</v>
      </c>
      <c r="FL53" t="e">
        <f>AND(#REF!,"AAAAAC//16c=")</f>
        <v>#REF!</v>
      </c>
      <c r="FM53" t="e">
        <f>AND(#REF!,"AAAAAC//16g=")</f>
        <v>#REF!</v>
      </c>
      <c r="FN53" t="e">
        <f>AND(#REF!,"AAAAAC//16k=")</f>
        <v>#REF!</v>
      </c>
      <c r="FO53" t="e">
        <f>IF(#REF!,"AAAAAC//16o=",0)</f>
        <v>#REF!</v>
      </c>
      <c r="FP53" t="e">
        <f>AND(#REF!,"AAAAAC//16s=")</f>
        <v>#REF!</v>
      </c>
      <c r="FQ53" t="e">
        <f>AND(#REF!,"AAAAAC//16w=")</f>
        <v>#REF!</v>
      </c>
      <c r="FR53" t="e">
        <f>AND(#REF!,"AAAAAC//160=")</f>
        <v>#REF!</v>
      </c>
      <c r="FS53" t="e">
        <f>AND(#REF!,"AAAAAC//164=")</f>
        <v>#REF!</v>
      </c>
      <c r="FT53" t="e">
        <f>AND(#REF!,"AAAAAC//168=")</f>
        <v>#REF!</v>
      </c>
      <c r="FU53" t="e">
        <f>AND(#REF!,"AAAAAC//17A=")</f>
        <v>#REF!</v>
      </c>
      <c r="FV53" t="e">
        <f>AND(#REF!,"AAAAAC//17E=")</f>
        <v>#REF!</v>
      </c>
      <c r="FW53" t="e">
        <f>AND(#REF!,"AAAAAC//17I=")</f>
        <v>#REF!</v>
      </c>
      <c r="FX53" t="e">
        <f>AND(#REF!,"AAAAAC//17M=")</f>
        <v>#REF!</v>
      </c>
      <c r="FY53" t="e">
        <f>AND(#REF!,"AAAAAC//17Q=")</f>
        <v>#REF!</v>
      </c>
      <c r="FZ53" t="e">
        <f>AND(#REF!,"AAAAAC//17U=")</f>
        <v>#REF!</v>
      </c>
      <c r="GA53" t="e">
        <f>AND(#REF!,"AAAAAC//17Y=")</f>
        <v>#REF!</v>
      </c>
      <c r="GB53" t="e">
        <f>AND(#REF!,"AAAAAC//17c=")</f>
        <v>#REF!</v>
      </c>
      <c r="GC53" t="e">
        <f>AND(#REF!,"AAAAAC//17g=")</f>
        <v>#REF!</v>
      </c>
      <c r="GD53" t="e">
        <f>AND(#REF!,"AAAAAC//17k=")</f>
        <v>#REF!</v>
      </c>
      <c r="GE53" t="e">
        <f>AND(#REF!,"AAAAAC//17o=")</f>
        <v>#REF!</v>
      </c>
      <c r="GF53" t="e">
        <f>AND(#REF!,"AAAAAC//17s=")</f>
        <v>#REF!</v>
      </c>
      <c r="GG53" t="e">
        <f>AND(#REF!,"AAAAAC//17w=")</f>
        <v>#REF!</v>
      </c>
      <c r="GH53" t="e">
        <f>AND(#REF!,"AAAAAC//170=")</f>
        <v>#REF!</v>
      </c>
      <c r="GI53" t="e">
        <f>AND(#REF!,"AAAAAC//174=")</f>
        <v>#REF!</v>
      </c>
      <c r="GJ53" t="e">
        <f>AND(#REF!,"AAAAAC//178=")</f>
        <v>#REF!</v>
      </c>
      <c r="GK53" t="e">
        <f>AND(#REF!,"AAAAAC//18A=")</f>
        <v>#REF!</v>
      </c>
      <c r="GL53" t="e">
        <f>AND(#REF!,"AAAAAC//18E=")</f>
        <v>#REF!</v>
      </c>
      <c r="GM53" t="e">
        <f>AND(#REF!,"AAAAAC//18I=")</f>
        <v>#REF!</v>
      </c>
      <c r="GN53" t="e">
        <f>IF(#REF!,"AAAAAC//18M=",0)</f>
        <v>#REF!</v>
      </c>
      <c r="GO53" t="e">
        <f>AND(#REF!,"AAAAAC//18Q=")</f>
        <v>#REF!</v>
      </c>
      <c r="GP53" t="e">
        <f>AND(#REF!,"AAAAAC//18U=")</f>
        <v>#REF!</v>
      </c>
      <c r="GQ53" t="e">
        <f>AND(#REF!,"AAAAAC//18Y=")</f>
        <v>#REF!</v>
      </c>
      <c r="GR53" t="e">
        <f>AND(#REF!,"AAAAAC//18c=")</f>
        <v>#REF!</v>
      </c>
      <c r="GS53" t="e">
        <f>AND(#REF!,"AAAAAC//18g=")</f>
        <v>#REF!</v>
      </c>
      <c r="GT53" t="e">
        <f>AND(#REF!,"AAAAAC//18k=")</f>
        <v>#REF!</v>
      </c>
      <c r="GU53" t="e">
        <f>AND(#REF!,"AAAAAC//18o=")</f>
        <v>#REF!</v>
      </c>
      <c r="GV53" t="e">
        <f>AND(#REF!,"AAAAAC//18s=")</f>
        <v>#REF!</v>
      </c>
      <c r="GW53" t="e">
        <f>AND(#REF!,"AAAAAC//18w=")</f>
        <v>#REF!</v>
      </c>
      <c r="GX53" t="e">
        <f>AND(#REF!,"AAAAAC//180=")</f>
        <v>#REF!</v>
      </c>
      <c r="GY53" t="e">
        <f>AND(#REF!,"AAAAAC//184=")</f>
        <v>#REF!</v>
      </c>
      <c r="GZ53" t="e">
        <f>AND(#REF!,"AAAAAC//188=")</f>
        <v>#REF!</v>
      </c>
      <c r="HA53" t="e">
        <f>AND(#REF!,"AAAAAC//19A=")</f>
        <v>#REF!</v>
      </c>
      <c r="HB53" t="e">
        <f>AND(#REF!,"AAAAAC//19E=")</f>
        <v>#REF!</v>
      </c>
      <c r="HC53" t="e">
        <f>AND(#REF!,"AAAAAC//19I=")</f>
        <v>#REF!</v>
      </c>
      <c r="HD53" t="e">
        <f>AND(#REF!,"AAAAAC//19M=")</f>
        <v>#REF!</v>
      </c>
      <c r="HE53" t="e">
        <f>AND(#REF!,"AAAAAC//19Q=")</f>
        <v>#REF!</v>
      </c>
      <c r="HF53" t="e">
        <f>AND(#REF!,"AAAAAC//19U=")</f>
        <v>#REF!</v>
      </c>
      <c r="HG53" t="e">
        <f>AND(#REF!,"AAAAAC//19Y=")</f>
        <v>#REF!</v>
      </c>
      <c r="HH53" t="e">
        <f>AND(#REF!,"AAAAAC//19c=")</f>
        <v>#REF!</v>
      </c>
      <c r="HI53" t="e">
        <f>AND(#REF!,"AAAAAC//19g=")</f>
        <v>#REF!</v>
      </c>
      <c r="HJ53" t="e">
        <f>AND(#REF!,"AAAAAC//19k=")</f>
        <v>#REF!</v>
      </c>
      <c r="HK53" t="e">
        <f>AND(#REF!,"AAAAAC//19o=")</f>
        <v>#REF!</v>
      </c>
      <c r="HL53" t="e">
        <f>AND(#REF!,"AAAAAC//19s=")</f>
        <v>#REF!</v>
      </c>
      <c r="HM53" t="e">
        <f>IF(#REF!,"AAAAAC//19w=",0)</f>
        <v>#REF!</v>
      </c>
      <c r="HN53" t="e">
        <f>AND(#REF!,"AAAAAC//190=")</f>
        <v>#REF!</v>
      </c>
      <c r="HO53" t="e">
        <f>AND(#REF!,"AAAAAC//194=")</f>
        <v>#REF!</v>
      </c>
      <c r="HP53" t="e">
        <f>AND(#REF!,"AAAAAC//198=")</f>
        <v>#REF!</v>
      </c>
      <c r="HQ53" t="e">
        <f>AND(#REF!,"AAAAAC//1+A=")</f>
        <v>#REF!</v>
      </c>
      <c r="HR53" t="e">
        <f>AND(#REF!,"AAAAAC//1+E=")</f>
        <v>#REF!</v>
      </c>
      <c r="HS53" t="e">
        <f>AND(#REF!,"AAAAAC//1+I=")</f>
        <v>#REF!</v>
      </c>
      <c r="HT53" t="e">
        <f>AND(#REF!,"AAAAAC//1+M=")</f>
        <v>#REF!</v>
      </c>
      <c r="HU53" t="e">
        <f>AND(#REF!,"AAAAAC//1+Q=")</f>
        <v>#REF!</v>
      </c>
      <c r="HV53" t="e">
        <f>AND(#REF!,"AAAAAC//1+U=")</f>
        <v>#REF!</v>
      </c>
      <c r="HW53" t="e">
        <f>AND(#REF!,"AAAAAC//1+Y=")</f>
        <v>#REF!</v>
      </c>
      <c r="HX53" t="e">
        <f>AND(#REF!,"AAAAAC//1+c=")</f>
        <v>#REF!</v>
      </c>
      <c r="HY53" t="e">
        <f>AND(#REF!,"AAAAAC//1+g=")</f>
        <v>#REF!</v>
      </c>
      <c r="HZ53" t="e">
        <f>AND(#REF!,"AAAAAC//1+k=")</f>
        <v>#REF!</v>
      </c>
      <c r="IA53" t="e">
        <f>AND(#REF!,"AAAAAC//1+o=")</f>
        <v>#REF!</v>
      </c>
      <c r="IB53" t="e">
        <f>AND(#REF!,"AAAAAC//1+s=")</f>
        <v>#REF!</v>
      </c>
      <c r="IC53" t="e">
        <f>AND(#REF!,"AAAAAC//1+w=")</f>
        <v>#REF!</v>
      </c>
      <c r="ID53" t="e">
        <f>AND(#REF!,"AAAAAC//1+0=")</f>
        <v>#REF!</v>
      </c>
      <c r="IE53" t="e">
        <f>AND(#REF!,"AAAAAC//1+4=")</f>
        <v>#REF!</v>
      </c>
      <c r="IF53" t="e">
        <f>AND(#REF!,"AAAAAC//1+8=")</f>
        <v>#REF!</v>
      </c>
      <c r="IG53" t="e">
        <f>AND(#REF!,"AAAAAC//1/A=")</f>
        <v>#REF!</v>
      </c>
      <c r="IH53" t="e">
        <f>AND(#REF!,"AAAAAC//1/E=")</f>
        <v>#REF!</v>
      </c>
      <c r="II53" t="e">
        <f>AND(#REF!,"AAAAAC//1/I=")</f>
        <v>#REF!</v>
      </c>
      <c r="IJ53" t="e">
        <f>AND(#REF!,"AAAAAC//1/M=")</f>
        <v>#REF!</v>
      </c>
      <c r="IK53" t="e">
        <f>AND(#REF!,"AAAAAC//1/Q=")</f>
        <v>#REF!</v>
      </c>
      <c r="IL53" t="e">
        <f>IF(#REF!,"AAAAAC//1/U=",0)</f>
        <v>#REF!</v>
      </c>
      <c r="IM53" t="e">
        <f>AND(#REF!,"AAAAAC//1/Y=")</f>
        <v>#REF!</v>
      </c>
      <c r="IN53" t="e">
        <f>AND(#REF!,"AAAAAC//1/c=")</f>
        <v>#REF!</v>
      </c>
      <c r="IO53" t="e">
        <f>AND(#REF!,"AAAAAC//1/g=")</f>
        <v>#REF!</v>
      </c>
      <c r="IP53" t="e">
        <f>AND(#REF!,"AAAAAC//1/k=")</f>
        <v>#REF!</v>
      </c>
      <c r="IQ53" t="e">
        <f>AND(#REF!,"AAAAAC//1/o=")</f>
        <v>#REF!</v>
      </c>
      <c r="IR53" t="e">
        <f>AND(#REF!,"AAAAAC//1/s=")</f>
        <v>#REF!</v>
      </c>
      <c r="IS53" t="e">
        <f>AND(#REF!,"AAAAAC//1/w=")</f>
        <v>#REF!</v>
      </c>
      <c r="IT53" t="e">
        <f>AND(#REF!,"AAAAAC//1/0=")</f>
        <v>#REF!</v>
      </c>
      <c r="IU53" t="e">
        <f>AND(#REF!,"AAAAAC//1/4=")</f>
        <v>#REF!</v>
      </c>
      <c r="IV53" t="e">
        <f>AND(#REF!,"AAAAAC//1/8=")</f>
        <v>#REF!</v>
      </c>
    </row>
    <row r="54" spans="1:256" x14ac:dyDescent="0.25">
      <c r="A54" t="e">
        <f>AND(#REF!,"AAAAADu3/gA=")</f>
        <v>#REF!</v>
      </c>
      <c r="B54" t="e">
        <f>AND(#REF!,"AAAAADu3/gE=")</f>
        <v>#REF!</v>
      </c>
      <c r="C54" t="e">
        <f>AND(#REF!,"AAAAADu3/gI=")</f>
        <v>#REF!</v>
      </c>
      <c r="D54" t="e">
        <f>AND(#REF!,"AAAAADu3/gM=")</f>
        <v>#REF!</v>
      </c>
      <c r="E54" t="e">
        <f>AND(#REF!,"AAAAADu3/gQ=")</f>
        <v>#REF!</v>
      </c>
      <c r="F54" t="e">
        <f>AND(#REF!,"AAAAADu3/gU=")</f>
        <v>#REF!</v>
      </c>
      <c r="G54" t="e">
        <f>AND(#REF!,"AAAAADu3/gY=")</f>
        <v>#REF!</v>
      </c>
      <c r="H54" t="e">
        <f>AND(#REF!,"AAAAADu3/gc=")</f>
        <v>#REF!</v>
      </c>
      <c r="I54" t="e">
        <f>AND(#REF!,"AAAAADu3/gg=")</f>
        <v>#REF!</v>
      </c>
      <c r="J54" t="e">
        <f>AND(#REF!,"AAAAADu3/gk=")</f>
        <v>#REF!</v>
      </c>
      <c r="K54" t="e">
        <f>AND(#REF!,"AAAAADu3/go=")</f>
        <v>#REF!</v>
      </c>
      <c r="L54" t="e">
        <f>AND(#REF!,"AAAAADu3/gs=")</f>
        <v>#REF!</v>
      </c>
      <c r="M54" t="e">
        <f>AND(#REF!,"AAAAADu3/gw=")</f>
        <v>#REF!</v>
      </c>
      <c r="N54" t="e">
        <f>AND(#REF!,"AAAAADu3/g0=")</f>
        <v>#REF!</v>
      </c>
      <c r="O54" t="e">
        <f>IF(#REF!,"AAAAADu3/g4=",0)</f>
        <v>#REF!</v>
      </c>
      <c r="P54" t="e">
        <f>AND(#REF!,"AAAAADu3/g8=")</f>
        <v>#REF!</v>
      </c>
      <c r="Q54" t="e">
        <f>AND(#REF!,"AAAAADu3/hA=")</f>
        <v>#REF!</v>
      </c>
      <c r="R54" t="e">
        <f>AND(#REF!,"AAAAADu3/hE=")</f>
        <v>#REF!</v>
      </c>
      <c r="S54" t="e">
        <f>AND(#REF!,"AAAAADu3/hI=")</f>
        <v>#REF!</v>
      </c>
      <c r="T54" t="e">
        <f>AND(#REF!,"AAAAADu3/hM=")</f>
        <v>#REF!</v>
      </c>
      <c r="U54" t="e">
        <f>AND(#REF!,"AAAAADu3/hQ=")</f>
        <v>#REF!</v>
      </c>
      <c r="V54" t="e">
        <f>AND(#REF!,"AAAAADu3/hU=")</f>
        <v>#REF!</v>
      </c>
      <c r="W54" t="e">
        <f>AND(#REF!,"AAAAADu3/hY=")</f>
        <v>#REF!</v>
      </c>
      <c r="X54" t="e">
        <f>AND(#REF!,"AAAAADu3/hc=")</f>
        <v>#REF!</v>
      </c>
      <c r="Y54" t="e">
        <f>AND(#REF!,"AAAAADu3/hg=")</f>
        <v>#REF!</v>
      </c>
      <c r="Z54" t="e">
        <f>AND(#REF!,"AAAAADu3/hk=")</f>
        <v>#REF!</v>
      </c>
      <c r="AA54" t="e">
        <f>AND(#REF!,"AAAAADu3/ho=")</f>
        <v>#REF!</v>
      </c>
      <c r="AB54" t="e">
        <f>AND(#REF!,"AAAAADu3/hs=")</f>
        <v>#REF!</v>
      </c>
      <c r="AC54" t="e">
        <f>AND(#REF!,"AAAAADu3/hw=")</f>
        <v>#REF!</v>
      </c>
      <c r="AD54" t="e">
        <f>AND(#REF!,"AAAAADu3/h0=")</f>
        <v>#REF!</v>
      </c>
      <c r="AE54" t="e">
        <f>AND(#REF!,"AAAAADu3/h4=")</f>
        <v>#REF!</v>
      </c>
      <c r="AF54" t="e">
        <f>AND(#REF!,"AAAAADu3/h8=")</f>
        <v>#REF!</v>
      </c>
      <c r="AG54" t="e">
        <f>AND(#REF!,"AAAAADu3/iA=")</f>
        <v>#REF!</v>
      </c>
      <c r="AH54" t="e">
        <f>AND(#REF!,"AAAAADu3/iE=")</f>
        <v>#REF!</v>
      </c>
      <c r="AI54" t="e">
        <f>AND(#REF!,"AAAAADu3/iI=")</f>
        <v>#REF!</v>
      </c>
      <c r="AJ54" t="e">
        <f>AND(#REF!,"AAAAADu3/iM=")</f>
        <v>#REF!</v>
      </c>
      <c r="AK54" t="e">
        <f>AND(#REF!,"AAAAADu3/iQ=")</f>
        <v>#REF!</v>
      </c>
      <c r="AL54" t="e">
        <f>AND(#REF!,"AAAAADu3/iU=")</f>
        <v>#REF!</v>
      </c>
      <c r="AM54" t="e">
        <f>AND(#REF!,"AAAAADu3/iY=")</f>
        <v>#REF!</v>
      </c>
      <c r="AN54" t="e">
        <f>IF(#REF!,"AAAAADu3/ic=",0)</f>
        <v>#REF!</v>
      </c>
      <c r="AO54" t="e">
        <f>AND(#REF!,"AAAAADu3/ig=")</f>
        <v>#REF!</v>
      </c>
      <c r="AP54" t="e">
        <f>AND(#REF!,"AAAAADu3/ik=")</f>
        <v>#REF!</v>
      </c>
      <c r="AQ54" t="e">
        <f>AND(#REF!,"AAAAADu3/io=")</f>
        <v>#REF!</v>
      </c>
      <c r="AR54" t="e">
        <f>AND(#REF!,"AAAAADu3/is=")</f>
        <v>#REF!</v>
      </c>
      <c r="AS54" t="e">
        <f>AND(#REF!,"AAAAADu3/iw=")</f>
        <v>#REF!</v>
      </c>
      <c r="AT54" t="e">
        <f>AND(#REF!,"AAAAADu3/i0=")</f>
        <v>#REF!</v>
      </c>
      <c r="AU54" t="e">
        <f>AND(#REF!,"AAAAADu3/i4=")</f>
        <v>#REF!</v>
      </c>
      <c r="AV54" t="e">
        <f>AND(#REF!,"AAAAADu3/i8=")</f>
        <v>#REF!</v>
      </c>
      <c r="AW54" t="e">
        <f>AND(#REF!,"AAAAADu3/jA=")</f>
        <v>#REF!</v>
      </c>
      <c r="AX54" t="e">
        <f>AND(#REF!,"AAAAADu3/jE=")</f>
        <v>#REF!</v>
      </c>
      <c r="AY54" t="e">
        <f>AND(#REF!,"AAAAADu3/jI=")</f>
        <v>#REF!</v>
      </c>
      <c r="AZ54" t="e">
        <f>AND(#REF!,"AAAAADu3/jM=")</f>
        <v>#REF!</v>
      </c>
      <c r="BA54" t="e">
        <f>AND(#REF!,"AAAAADu3/jQ=")</f>
        <v>#REF!</v>
      </c>
      <c r="BB54" t="e">
        <f>AND(#REF!,"AAAAADu3/jU=")</f>
        <v>#REF!</v>
      </c>
      <c r="BC54" t="e">
        <f>AND(#REF!,"AAAAADu3/jY=")</f>
        <v>#REF!</v>
      </c>
      <c r="BD54" t="e">
        <f>AND(#REF!,"AAAAADu3/jc=")</f>
        <v>#REF!</v>
      </c>
      <c r="BE54" t="e">
        <f>AND(#REF!,"AAAAADu3/jg=")</f>
        <v>#REF!</v>
      </c>
      <c r="BF54" t="e">
        <f>AND(#REF!,"AAAAADu3/jk=")</f>
        <v>#REF!</v>
      </c>
      <c r="BG54" t="e">
        <f>AND(#REF!,"AAAAADu3/jo=")</f>
        <v>#REF!</v>
      </c>
      <c r="BH54" t="e">
        <f>AND(#REF!,"AAAAADu3/js=")</f>
        <v>#REF!</v>
      </c>
      <c r="BI54" t="e">
        <f>AND(#REF!,"AAAAADu3/jw=")</f>
        <v>#REF!</v>
      </c>
      <c r="BJ54" t="e">
        <f>AND(#REF!,"AAAAADu3/j0=")</f>
        <v>#REF!</v>
      </c>
      <c r="BK54" t="e">
        <f>AND(#REF!,"AAAAADu3/j4=")</f>
        <v>#REF!</v>
      </c>
      <c r="BL54" t="e">
        <f>AND(#REF!,"AAAAADu3/j8=")</f>
        <v>#REF!</v>
      </c>
      <c r="BM54" t="e">
        <f>IF(#REF!,"AAAAADu3/kA=",0)</f>
        <v>#REF!</v>
      </c>
      <c r="BN54" t="e">
        <f>AND(#REF!,"AAAAADu3/kE=")</f>
        <v>#REF!</v>
      </c>
      <c r="BO54" t="e">
        <f>AND(#REF!,"AAAAADu3/kI=")</f>
        <v>#REF!</v>
      </c>
      <c r="BP54" t="e">
        <f>AND(#REF!,"AAAAADu3/kM=")</f>
        <v>#REF!</v>
      </c>
      <c r="BQ54" t="e">
        <f>AND(#REF!,"AAAAADu3/kQ=")</f>
        <v>#REF!</v>
      </c>
      <c r="BR54" t="e">
        <f>AND(#REF!,"AAAAADu3/kU=")</f>
        <v>#REF!</v>
      </c>
      <c r="BS54" t="e">
        <f>AND(#REF!,"AAAAADu3/kY=")</f>
        <v>#REF!</v>
      </c>
      <c r="BT54" t="e">
        <f>AND(#REF!,"AAAAADu3/kc=")</f>
        <v>#REF!</v>
      </c>
      <c r="BU54" t="e">
        <f>AND(#REF!,"AAAAADu3/kg=")</f>
        <v>#REF!</v>
      </c>
      <c r="BV54" t="e">
        <f>AND(#REF!,"AAAAADu3/kk=")</f>
        <v>#REF!</v>
      </c>
      <c r="BW54" t="e">
        <f>AND(#REF!,"AAAAADu3/ko=")</f>
        <v>#REF!</v>
      </c>
      <c r="BX54" t="e">
        <f>AND(#REF!,"AAAAADu3/ks=")</f>
        <v>#REF!</v>
      </c>
      <c r="BY54" t="e">
        <f>AND(#REF!,"AAAAADu3/kw=")</f>
        <v>#REF!</v>
      </c>
      <c r="BZ54" t="e">
        <f>AND(#REF!,"AAAAADu3/k0=")</f>
        <v>#REF!</v>
      </c>
      <c r="CA54" t="e">
        <f>AND(#REF!,"AAAAADu3/k4=")</f>
        <v>#REF!</v>
      </c>
      <c r="CB54" t="e">
        <f>AND(#REF!,"AAAAADu3/k8=")</f>
        <v>#REF!</v>
      </c>
      <c r="CC54" t="e">
        <f>AND(#REF!,"AAAAADu3/lA=")</f>
        <v>#REF!</v>
      </c>
      <c r="CD54" t="e">
        <f>AND(#REF!,"AAAAADu3/lE=")</f>
        <v>#REF!</v>
      </c>
      <c r="CE54" t="e">
        <f>AND(#REF!,"AAAAADu3/lI=")</f>
        <v>#REF!</v>
      </c>
      <c r="CF54" t="e">
        <f>AND(#REF!,"AAAAADu3/lM=")</f>
        <v>#REF!</v>
      </c>
      <c r="CG54" t="e">
        <f>AND(#REF!,"AAAAADu3/lQ=")</f>
        <v>#REF!</v>
      </c>
      <c r="CH54" t="e">
        <f>AND(#REF!,"AAAAADu3/lU=")</f>
        <v>#REF!</v>
      </c>
      <c r="CI54" t="e">
        <f>AND(#REF!,"AAAAADu3/lY=")</f>
        <v>#REF!</v>
      </c>
      <c r="CJ54" t="e">
        <f>AND(#REF!,"AAAAADu3/lc=")</f>
        <v>#REF!</v>
      </c>
      <c r="CK54" t="e">
        <f>AND(#REF!,"AAAAADu3/lg=")</f>
        <v>#REF!</v>
      </c>
      <c r="CL54" t="e">
        <f>IF(#REF!,"AAAAADu3/lk=",0)</f>
        <v>#REF!</v>
      </c>
      <c r="CM54" t="e">
        <f>AND(#REF!,"AAAAADu3/lo=")</f>
        <v>#REF!</v>
      </c>
      <c r="CN54" t="e">
        <f>AND(#REF!,"AAAAADu3/ls=")</f>
        <v>#REF!</v>
      </c>
      <c r="CO54" t="e">
        <f>AND(#REF!,"AAAAADu3/lw=")</f>
        <v>#REF!</v>
      </c>
      <c r="CP54" t="e">
        <f>AND(#REF!,"AAAAADu3/l0=")</f>
        <v>#REF!</v>
      </c>
      <c r="CQ54" t="e">
        <f>AND(#REF!,"AAAAADu3/l4=")</f>
        <v>#REF!</v>
      </c>
      <c r="CR54" t="e">
        <f>AND(#REF!,"AAAAADu3/l8=")</f>
        <v>#REF!</v>
      </c>
      <c r="CS54" t="e">
        <f>AND(#REF!,"AAAAADu3/mA=")</f>
        <v>#REF!</v>
      </c>
      <c r="CT54" t="e">
        <f>AND(#REF!,"AAAAADu3/mE=")</f>
        <v>#REF!</v>
      </c>
      <c r="CU54" t="e">
        <f>AND(#REF!,"AAAAADu3/mI=")</f>
        <v>#REF!</v>
      </c>
      <c r="CV54" t="e">
        <f>AND(#REF!,"AAAAADu3/mM=")</f>
        <v>#REF!</v>
      </c>
      <c r="CW54" t="e">
        <f>AND(#REF!,"AAAAADu3/mQ=")</f>
        <v>#REF!</v>
      </c>
      <c r="CX54" t="e">
        <f>AND(#REF!,"AAAAADu3/mU=")</f>
        <v>#REF!</v>
      </c>
      <c r="CY54" t="e">
        <f>AND(#REF!,"AAAAADu3/mY=")</f>
        <v>#REF!</v>
      </c>
      <c r="CZ54" t="e">
        <f>AND(#REF!,"AAAAADu3/mc=")</f>
        <v>#REF!</v>
      </c>
      <c r="DA54" t="e">
        <f>AND(#REF!,"AAAAADu3/mg=")</f>
        <v>#REF!</v>
      </c>
      <c r="DB54" t="e">
        <f>AND(#REF!,"AAAAADu3/mk=")</f>
        <v>#REF!</v>
      </c>
      <c r="DC54" t="e">
        <f>AND(#REF!,"AAAAADu3/mo=")</f>
        <v>#REF!</v>
      </c>
      <c r="DD54" t="e">
        <f>AND(#REF!,"AAAAADu3/ms=")</f>
        <v>#REF!</v>
      </c>
      <c r="DE54" t="e">
        <f>AND(#REF!,"AAAAADu3/mw=")</f>
        <v>#REF!</v>
      </c>
      <c r="DF54" t="e">
        <f>AND(#REF!,"AAAAADu3/m0=")</f>
        <v>#REF!</v>
      </c>
      <c r="DG54" t="e">
        <f>AND(#REF!,"AAAAADu3/m4=")</f>
        <v>#REF!</v>
      </c>
      <c r="DH54" t="e">
        <f>AND(#REF!,"AAAAADu3/m8=")</f>
        <v>#REF!</v>
      </c>
      <c r="DI54" t="e">
        <f>AND(#REF!,"AAAAADu3/nA=")</f>
        <v>#REF!</v>
      </c>
      <c r="DJ54" t="e">
        <f>AND(#REF!,"AAAAADu3/nE=")</f>
        <v>#REF!</v>
      </c>
      <c r="DK54" t="e">
        <f>IF(#REF!,"AAAAADu3/nI=",0)</f>
        <v>#REF!</v>
      </c>
      <c r="DL54" t="e">
        <f>AND(#REF!,"AAAAADu3/nM=")</f>
        <v>#REF!</v>
      </c>
      <c r="DM54" t="e">
        <f>AND(#REF!,"AAAAADu3/nQ=")</f>
        <v>#REF!</v>
      </c>
      <c r="DN54" t="e">
        <f>AND(#REF!,"AAAAADu3/nU=")</f>
        <v>#REF!</v>
      </c>
      <c r="DO54" t="e">
        <f>AND(#REF!,"AAAAADu3/nY=")</f>
        <v>#REF!</v>
      </c>
      <c r="DP54" t="e">
        <f>AND(#REF!,"AAAAADu3/nc=")</f>
        <v>#REF!</v>
      </c>
      <c r="DQ54" t="e">
        <f>AND(#REF!,"AAAAADu3/ng=")</f>
        <v>#REF!</v>
      </c>
      <c r="DR54" t="e">
        <f>AND(#REF!,"AAAAADu3/nk=")</f>
        <v>#REF!</v>
      </c>
      <c r="DS54" t="e">
        <f>AND(#REF!,"AAAAADu3/no=")</f>
        <v>#REF!</v>
      </c>
      <c r="DT54" t="e">
        <f>AND(#REF!,"AAAAADu3/ns=")</f>
        <v>#REF!</v>
      </c>
      <c r="DU54" t="e">
        <f>AND(#REF!,"AAAAADu3/nw=")</f>
        <v>#REF!</v>
      </c>
      <c r="DV54" t="e">
        <f>AND(#REF!,"AAAAADu3/n0=")</f>
        <v>#REF!</v>
      </c>
      <c r="DW54" t="e">
        <f>AND(#REF!,"AAAAADu3/n4=")</f>
        <v>#REF!</v>
      </c>
      <c r="DX54" t="e">
        <f>AND(#REF!,"AAAAADu3/n8=")</f>
        <v>#REF!</v>
      </c>
      <c r="DY54" t="e">
        <f>AND(#REF!,"AAAAADu3/oA=")</f>
        <v>#REF!</v>
      </c>
      <c r="DZ54" t="e">
        <f>AND(#REF!,"AAAAADu3/oE=")</f>
        <v>#REF!</v>
      </c>
      <c r="EA54" t="e">
        <f>AND(#REF!,"AAAAADu3/oI=")</f>
        <v>#REF!</v>
      </c>
      <c r="EB54" t="e">
        <f>AND(#REF!,"AAAAADu3/oM=")</f>
        <v>#REF!</v>
      </c>
      <c r="EC54" t="e">
        <f>AND(#REF!,"AAAAADu3/oQ=")</f>
        <v>#REF!</v>
      </c>
      <c r="ED54" t="e">
        <f>AND(#REF!,"AAAAADu3/oU=")</f>
        <v>#REF!</v>
      </c>
      <c r="EE54" t="e">
        <f>AND(#REF!,"AAAAADu3/oY=")</f>
        <v>#REF!</v>
      </c>
      <c r="EF54" t="e">
        <f>AND(#REF!,"AAAAADu3/oc=")</f>
        <v>#REF!</v>
      </c>
      <c r="EG54" t="e">
        <f>AND(#REF!,"AAAAADu3/og=")</f>
        <v>#REF!</v>
      </c>
      <c r="EH54" t="e">
        <f>AND(#REF!,"AAAAADu3/ok=")</f>
        <v>#REF!</v>
      </c>
      <c r="EI54" t="e">
        <f>AND(#REF!,"AAAAADu3/oo=")</f>
        <v>#REF!</v>
      </c>
      <c r="EJ54" t="e">
        <f>IF(#REF!,"AAAAADu3/os=",0)</f>
        <v>#REF!</v>
      </c>
      <c r="EK54" t="e">
        <f>AND(#REF!,"AAAAADu3/ow=")</f>
        <v>#REF!</v>
      </c>
      <c r="EL54" t="e">
        <f>AND(#REF!,"AAAAADu3/o0=")</f>
        <v>#REF!</v>
      </c>
      <c r="EM54" t="e">
        <f>AND(#REF!,"AAAAADu3/o4=")</f>
        <v>#REF!</v>
      </c>
      <c r="EN54" t="e">
        <f>AND(#REF!,"AAAAADu3/o8=")</f>
        <v>#REF!</v>
      </c>
      <c r="EO54" t="e">
        <f>AND(#REF!,"AAAAADu3/pA=")</f>
        <v>#REF!</v>
      </c>
      <c r="EP54" t="e">
        <f>AND(#REF!,"AAAAADu3/pE=")</f>
        <v>#REF!</v>
      </c>
      <c r="EQ54" t="e">
        <f>AND(#REF!,"AAAAADu3/pI=")</f>
        <v>#REF!</v>
      </c>
      <c r="ER54" t="e">
        <f>AND(#REF!,"AAAAADu3/pM=")</f>
        <v>#REF!</v>
      </c>
      <c r="ES54" t="e">
        <f>AND(#REF!,"AAAAADu3/pQ=")</f>
        <v>#REF!</v>
      </c>
      <c r="ET54" t="e">
        <f>AND(#REF!,"AAAAADu3/pU=")</f>
        <v>#REF!</v>
      </c>
      <c r="EU54" t="e">
        <f>AND(#REF!,"AAAAADu3/pY=")</f>
        <v>#REF!</v>
      </c>
      <c r="EV54" t="e">
        <f>AND(#REF!,"AAAAADu3/pc=")</f>
        <v>#REF!</v>
      </c>
      <c r="EW54" t="e">
        <f>AND(#REF!,"AAAAADu3/pg=")</f>
        <v>#REF!</v>
      </c>
      <c r="EX54" t="e">
        <f>AND(#REF!,"AAAAADu3/pk=")</f>
        <v>#REF!</v>
      </c>
      <c r="EY54" t="e">
        <f>AND(#REF!,"AAAAADu3/po=")</f>
        <v>#REF!</v>
      </c>
      <c r="EZ54" t="e">
        <f>AND(#REF!,"AAAAADu3/ps=")</f>
        <v>#REF!</v>
      </c>
      <c r="FA54" t="e">
        <f>AND(#REF!,"AAAAADu3/pw=")</f>
        <v>#REF!</v>
      </c>
      <c r="FB54" t="e">
        <f>AND(#REF!,"AAAAADu3/p0=")</f>
        <v>#REF!</v>
      </c>
      <c r="FC54" t="e">
        <f>AND(#REF!,"AAAAADu3/p4=")</f>
        <v>#REF!</v>
      </c>
      <c r="FD54" t="e">
        <f>AND(#REF!,"AAAAADu3/p8=")</f>
        <v>#REF!</v>
      </c>
      <c r="FE54" t="e">
        <f>AND(#REF!,"AAAAADu3/qA=")</f>
        <v>#REF!</v>
      </c>
      <c r="FF54" t="e">
        <f>AND(#REF!,"AAAAADu3/qE=")</f>
        <v>#REF!</v>
      </c>
      <c r="FG54" t="e">
        <f>AND(#REF!,"AAAAADu3/qI=")</f>
        <v>#REF!</v>
      </c>
      <c r="FH54" t="e">
        <f>AND(#REF!,"AAAAADu3/qM=")</f>
        <v>#REF!</v>
      </c>
      <c r="FI54" t="e">
        <f>IF(#REF!,"AAAAADu3/qQ=",0)</f>
        <v>#REF!</v>
      </c>
      <c r="FJ54" t="e">
        <f>AND(#REF!,"AAAAADu3/qU=")</f>
        <v>#REF!</v>
      </c>
      <c r="FK54" t="e">
        <f>AND(#REF!,"AAAAADu3/qY=")</f>
        <v>#REF!</v>
      </c>
      <c r="FL54" t="e">
        <f>AND(#REF!,"AAAAADu3/qc=")</f>
        <v>#REF!</v>
      </c>
      <c r="FM54" t="e">
        <f>AND(#REF!,"AAAAADu3/qg=")</f>
        <v>#REF!</v>
      </c>
      <c r="FN54" t="e">
        <f>AND(#REF!,"AAAAADu3/qk=")</f>
        <v>#REF!</v>
      </c>
      <c r="FO54" t="e">
        <f>AND(#REF!,"AAAAADu3/qo=")</f>
        <v>#REF!</v>
      </c>
      <c r="FP54" t="e">
        <f>AND(#REF!,"AAAAADu3/qs=")</f>
        <v>#REF!</v>
      </c>
      <c r="FQ54" t="e">
        <f>AND(#REF!,"AAAAADu3/qw=")</f>
        <v>#REF!</v>
      </c>
      <c r="FR54" t="e">
        <f>AND(#REF!,"AAAAADu3/q0=")</f>
        <v>#REF!</v>
      </c>
      <c r="FS54" t="e">
        <f>AND(#REF!,"AAAAADu3/q4=")</f>
        <v>#REF!</v>
      </c>
      <c r="FT54" t="e">
        <f>AND(#REF!,"AAAAADu3/q8=")</f>
        <v>#REF!</v>
      </c>
      <c r="FU54" t="e">
        <f>AND(#REF!,"AAAAADu3/rA=")</f>
        <v>#REF!</v>
      </c>
      <c r="FV54" t="e">
        <f>AND(#REF!,"AAAAADu3/rE=")</f>
        <v>#REF!</v>
      </c>
      <c r="FW54" t="e">
        <f>AND(#REF!,"AAAAADu3/rI=")</f>
        <v>#REF!</v>
      </c>
      <c r="FX54" t="e">
        <f>AND(#REF!,"AAAAADu3/rM=")</f>
        <v>#REF!</v>
      </c>
      <c r="FY54" t="e">
        <f>AND(#REF!,"AAAAADu3/rQ=")</f>
        <v>#REF!</v>
      </c>
      <c r="FZ54" t="e">
        <f>AND(#REF!,"AAAAADu3/rU=")</f>
        <v>#REF!</v>
      </c>
      <c r="GA54" t="e">
        <f>AND(#REF!,"AAAAADu3/rY=")</f>
        <v>#REF!</v>
      </c>
      <c r="GB54" t="e">
        <f>AND(#REF!,"AAAAADu3/rc=")</f>
        <v>#REF!</v>
      </c>
      <c r="GC54" t="e">
        <f>AND(#REF!,"AAAAADu3/rg=")</f>
        <v>#REF!</v>
      </c>
      <c r="GD54" t="e">
        <f>AND(#REF!,"AAAAADu3/rk=")</f>
        <v>#REF!</v>
      </c>
      <c r="GE54" t="e">
        <f>AND(#REF!,"AAAAADu3/ro=")</f>
        <v>#REF!</v>
      </c>
      <c r="GF54" t="e">
        <f>AND(#REF!,"AAAAADu3/rs=")</f>
        <v>#REF!</v>
      </c>
      <c r="GG54" t="e">
        <f>AND(#REF!,"AAAAADu3/rw=")</f>
        <v>#REF!</v>
      </c>
      <c r="GH54" t="e">
        <f>IF(#REF!,"AAAAADu3/r0=",0)</f>
        <v>#REF!</v>
      </c>
      <c r="GI54" t="e">
        <f>AND(#REF!,"AAAAADu3/r4=")</f>
        <v>#REF!</v>
      </c>
      <c r="GJ54" t="e">
        <f>AND(#REF!,"AAAAADu3/r8=")</f>
        <v>#REF!</v>
      </c>
      <c r="GK54" t="e">
        <f>AND(#REF!,"AAAAADu3/sA=")</f>
        <v>#REF!</v>
      </c>
      <c r="GL54" t="e">
        <f>AND(#REF!,"AAAAADu3/sE=")</f>
        <v>#REF!</v>
      </c>
      <c r="GM54" t="e">
        <f>AND(#REF!,"AAAAADu3/sI=")</f>
        <v>#REF!</v>
      </c>
      <c r="GN54" t="e">
        <f>AND(#REF!,"AAAAADu3/sM=")</f>
        <v>#REF!</v>
      </c>
      <c r="GO54" t="e">
        <f>AND(#REF!,"AAAAADu3/sQ=")</f>
        <v>#REF!</v>
      </c>
      <c r="GP54" t="e">
        <f>AND(#REF!,"AAAAADu3/sU=")</f>
        <v>#REF!</v>
      </c>
      <c r="GQ54" t="e">
        <f>AND(#REF!,"AAAAADu3/sY=")</f>
        <v>#REF!</v>
      </c>
      <c r="GR54" t="e">
        <f>AND(#REF!,"AAAAADu3/sc=")</f>
        <v>#REF!</v>
      </c>
      <c r="GS54" t="e">
        <f>AND(#REF!,"AAAAADu3/sg=")</f>
        <v>#REF!</v>
      </c>
      <c r="GT54" t="e">
        <f>AND(#REF!,"AAAAADu3/sk=")</f>
        <v>#REF!</v>
      </c>
      <c r="GU54" t="e">
        <f>AND(#REF!,"AAAAADu3/so=")</f>
        <v>#REF!</v>
      </c>
      <c r="GV54" t="e">
        <f>AND(#REF!,"AAAAADu3/ss=")</f>
        <v>#REF!</v>
      </c>
      <c r="GW54" t="e">
        <f>AND(#REF!,"AAAAADu3/sw=")</f>
        <v>#REF!</v>
      </c>
      <c r="GX54" t="e">
        <f>AND(#REF!,"AAAAADu3/s0=")</f>
        <v>#REF!</v>
      </c>
      <c r="GY54" t="e">
        <f>AND(#REF!,"AAAAADu3/s4=")</f>
        <v>#REF!</v>
      </c>
      <c r="GZ54" t="e">
        <f>AND(#REF!,"AAAAADu3/s8=")</f>
        <v>#REF!</v>
      </c>
      <c r="HA54" t="e">
        <f>AND(#REF!,"AAAAADu3/tA=")</f>
        <v>#REF!</v>
      </c>
      <c r="HB54" t="e">
        <f>AND(#REF!,"AAAAADu3/tE=")</f>
        <v>#REF!</v>
      </c>
      <c r="HC54" t="e">
        <f>AND(#REF!,"AAAAADu3/tI=")</f>
        <v>#REF!</v>
      </c>
      <c r="HD54" t="e">
        <f>AND(#REF!,"AAAAADu3/tM=")</f>
        <v>#REF!</v>
      </c>
      <c r="HE54" t="e">
        <f>AND(#REF!,"AAAAADu3/tQ=")</f>
        <v>#REF!</v>
      </c>
      <c r="HF54" t="e">
        <f>AND(#REF!,"AAAAADu3/tU=")</f>
        <v>#REF!</v>
      </c>
      <c r="HG54" t="e">
        <f>IF(#REF!,"AAAAADu3/tY=",0)</f>
        <v>#REF!</v>
      </c>
      <c r="HH54" t="e">
        <f>AND(#REF!,"AAAAADu3/tc=")</f>
        <v>#REF!</v>
      </c>
      <c r="HI54" t="e">
        <f>AND(#REF!,"AAAAADu3/tg=")</f>
        <v>#REF!</v>
      </c>
      <c r="HJ54" t="e">
        <f>AND(#REF!,"AAAAADu3/tk=")</f>
        <v>#REF!</v>
      </c>
      <c r="HK54" t="e">
        <f>AND(#REF!,"AAAAADu3/to=")</f>
        <v>#REF!</v>
      </c>
      <c r="HL54" t="e">
        <f>AND(#REF!,"AAAAADu3/ts=")</f>
        <v>#REF!</v>
      </c>
      <c r="HM54" t="e">
        <f>AND(#REF!,"AAAAADu3/tw=")</f>
        <v>#REF!</v>
      </c>
      <c r="HN54" t="e">
        <f>AND(#REF!,"AAAAADu3/t0=")</f>
        <v>#REF!</v>
      </c>
      <c r="HO54" t="e">
        <f>AND(#REF!,"AAAAADu3/t4=")</f>
        <v>#REF!</v>
      </c>
      <c r="HP54" t="e">
        <f>AND(#REF!,"AAAAADu3/t8=")</f>
        <v>#REF!</v>
      </c>
      <c r="HQ54" t="e">
        <f>AND(#REF!,"AAAAADu3/uA=")</f>
        <v>#REF!</v>
      </c>
      <c r="HR54" t="e">
        <f>AND(#REF!,"AAAAADu3/uE=")</f>
        <v>#REF!</v>
      </c>
      <c r="HS54" t="e">
        <f>AND(#REF!,"AAAAADu3/uI=")</f>
        <v>#REF!</v>
      </c>
      <c r="HT54" t="e">
        <f>AND(#REF!,"AAAAADu3/uM=")</f>
        <v>#REF!</v>
      </c>
      <c r="HU54" t="e">
        <f>AND(#REF!,"AAAAADu3/uQ=")</f>
        <v>#REF!</v>
      </c>
      <c r="HV54" t="e">
        <f>AND(#REF!,"AAAAADu3/uU=")</f>
        <v>#REF!</v>
      </c>
      <c r="HW54" t="e">
        <f>AND(#REF!,"AAAAADu3/uY=")</f>
        <v>#REF!</v>
      </c>
      <c r="HX54" t="e">
        <f>AND(#REF!,"AAAAADu3/uc=")</f>
        <v>#REF!</v>
      </c>
      <c r="HY54" t="e">
        <f>AND(#REF!,"AAAAADu3/ug=")</f>
        <v>#REF!</v>
      </c>
      <c r="HZ54" t="e">
        <f>AND(#REF!,"AAAAADu3/uk=")</f>
        <v>#REF!</v>
      </c>
      <c r="IA54" t="e">
        <f>AND(#REF!,"AAAAADu3/uo=")</f>
        <v>#REF!</v>
      </c>
      <c r="IB54" t="e">
        <f>AND(#REF!,"AAAAADu3/us=")</f>
        <v>#REF!</v>
      </c>
      <c r="IC54" t="e">
        <f>AND(#REF!,"AAAAADu3/uw=")</f>
        <v>#REF!</v>
      </c>
      <c r="ID54" t="e">
        <f>AND(#REF!,"AAAAADu3/u0=")</f>
        <v>#REF!</v>
      </c>
      <c r="IE54" t="e">
        <f>AND(#REF!,"AAAAADu3/u4=")</f>
        <v>#REF!</v>
      </c>
      <c r="IF54" t="e">
        <f>IF(#REF!,"AAAAADu3/u8=",0)</f>
        <v>#REF!</v>
      </c>
      <c r="IG54" t="e">
        <f>AND(#REF!,"AAAAADu3/vA=")</f>
        <v>#REF!</v>
      </c>
      <c r="IH54" t="e">
        <f>AND(#REF!,"AAAAADu3/vE=")</f>
        <v>#REF!</v>
      </c>
      <c r="II54" t="e">
        <f>AND(#REF!,"AAAAADu3/vI=")</f>
        <v>#REF!</v>
      </c>
      <c r="IJ54" t="e">
        <f>AND(#REF!,"AAAAADu3/vM=")</f>
        <v>#REF!</v>
      </c>
      <c r="IK54" t="e">
        <f>AND(#REF!,"AAAAADu3/vQ=")</f>
        <v>#REF!</v>
      </c>
      <c r="IL54" t="e">
        <f>AND(#REF!,"AAAAADu3/vU=")</f>
        <v>#REF!</v>
      </c>
      <c r="IM54" t="e">
        <f>AND(#REF!,"AAAAADu3/vY=")</f>
        <v>#REF!</v>
      </c>
      <c r="IN54" t="e">
        <f>AND(#REF!,"AAAAADu3/vc=")</f>
        <v>#REF!</v>
      </c>
      <c r="IO54" t="e">
        <f>AND(#REF!,"AAAAADu3/vg=")</f>
        <v>#REF!</v>
      </c>
      <c r="IP54" t="e">
        <f>AND(#REF!,"AAAAADu3/vk=")</f>
        <v>#REF!</v>
      </c>
      <c r="IQ54" t="e">
        <f>AND(#REF!,"AAAAADu3/vo=")</f>
        <v>#REF!</v>
      </c>
      <c r="IR54" t="e">
        <f>AND(#REF!,"AAAAADu3/vs=")</f>
        <v>#REF!</v>
      </c>
      <c r="IS54" t="e">
        <f>AND(#REF!,"AAAAADu3/vw=")</f>
        <v>#REF!</v>
      </c>
      <c r="IT54" t="e">
        <f>AND(#REF!,"AAAAADu3/v0=")</f>
        <v>#REF!</v>
      </c>
      <c r="IU54" t="e">
        <f>AND(#REF!,"AAAAADu3/v4=")</f>
        <v>#REF!</v>
      </c>
      <c r="IV54" t="e">
        <f>AND(#REF!,"AAAAADu3/v8=")</f>
        <v>#REF!</v>
      </c>
    </row>
    <row r="55" spans="1:256" x14ac:dyDescent="0.25">
      <c r="A55" t="e">
        <f>AND(#REF!,"AAAAADob7wA=")</f>
        <v>#REF!</v>
      </c>
      <c r="B55" t="e">
        <f>AND(#REF!,"AAAAADob7wE=")</f>
        <v>#REF!</v>
      </c>
      <c r="C55" t="e">
        <f>AND(#REF!,"AAAAADob7wI=")</f>
        <v>#REF!</v>
      </c>
      <c r="D55" t="e">
        <f>AND(#REF!,"AAAAADob7wM=")</f>
        <v>#REF!</v>
      </c>
      <c r="E55" t="e">
        <f>AND(#REF!,"AAAAADob7wQ=")</f>
        <v>#REF!</v>
      </c>
      <c r="F55" t="e">
        <f>AND(#REF!,"AAAAADob7wU=")</f>
        <v>#REF!</v>
      </c>
      <c r="G55" t="e">
        <f>AND(#REF!,"AAAAADob7wY=")</f>
        <v>#REF!</v>
      </c>
      <c r="H55" t="e">
        <f>AND(#REF!,"AAAAADob7wc=")</f>
        <v>#REF!</v>
      </c>
      <c r="I55" t="e">
        <f>IF(#REF!,"AAAAADob7wg=",0)</f>
        <v>#REF!</v>
      </c>
      <c r="J55" t="e">
        <f>AND(#REF!,"AAAAADob7wk=")</f>
        <v>#REF!</v>
      </c>
      <c r="K55" t="e">
        <f>AND(#REF!,"AAAAADob7wo=")</f>
        <v>#REF!</v>
      </c>
      <c r="L55" t="e">
        <f>AND(#REF!,"AAAAADob7ws=")</f>
        <v>#REF!</v>
      </c>
      <c r="M55" t="e">
        <f>AND(#REF!,"AAAAADob7ww=")</f>
        <v>#REF!</v>
      </c>
      <c r="N55" t="e">
        <f>AND(#REF!,"AAAAADob7w0=")</f>
        <v>#REF!</v>
      </c>
      <c r="O55" t="e">
        <f>AND(#REF!,"AAAAADob7w4=")</f>
        <v>#REF!</v>
      </c>
      <c r="P55" t="e">
        <f>AND(#REF!,"AAAAADob7w8=")</f>
        <v>#REF!</v>
      </c>
      <c r="Q55" t="e">
        <f>AND(#REF!,"AAAAADob7xA=")</f>
        <v>#REF!</v>
      </c>
      <c r="R55" t="e">
        <f>AND(#REF!,"AAAAADob7xE=")</f>
        <v>#REF!</v>
      </c>
      <c r="S55" t="e">
        <f>AND(#REF!,"AAAAADob7xI=")</f>
        <v>#REF!</v>
      </c>
      <c r="T55" t="e">
        <f>AND(#REF!,"AAAAADob7xM=")</f>
        <v>#REF!</v>
      </c>
      <c r="U55" t="e">
        <f>AND(#REF!,"AAAAADob7xQ=")</f>
        <v>#REF!</v>
      </c>
      <c r="V55" t="e">
        <f>AND(#REF!,"AAAAADob7xU=")</f>
        <v>#REF!</v>
      </c>
      <c r="W55" t="e">
        <f>AND(#REF!,"AAAAADob7xY=")</f>
        <v>#REF!</v>
      </c>
      <c r="X55" t="e">
        <f>AND(#REF!,"AAAAADob7xc=")</f>
        <v>#REF!</v>
      </c>
      <c r="Y55" t="e">
        <f>AND(#REF!,"AAAAADob7xg=")</f>
        <v>#REF!</v>
      </c>
      <c r="Z55" t="e">
        <f>AND(#REF!,"AAAAADob7xk=")</f>
        <v>#REF!</v>
      </c>
      <c r="AA55" t="e">
        <f>AND(#REF!,"AAAAADob7xo=")</f>
        <v>#REF!</v>
      </c>
      <c r="AB55" t="e">
        <f>AND(#REF!,"AAAAADob7xs=")</f>
        <v>#REF!</v>
      </c>
      <c r="AC55" t="e">
        <f>AND(#REF!,"AAAAADob7xw=")</f>
        <v>#REF!</v>
      </c>
      <c r="AD55" t="e">
        <f>AND(#REF!,"AAAAADob7x0=")</f>
        <v>#REF!</v>
      </c>
      <c r="AE55" t="e">
        <f>AND(#REF!,"AAAAADob7x4=")</f>
        <v>#REF!</v>
      </c>
      <c r="AF55" t="e">
        <f>AND(#REF!,"AAAAADob7x8=")</f>
        <v>#REF!</v>
      </c>
      <c r="AG55" t="e">
        <f>AND(#REF!,"AAAAADob7yA=")</f>
        <v>#REF!</v>
      </c>
      <c r="AH55" t="e">
        <f>IF(#REF!,"AAAAADob7yE=",0)</f>
        <v>#REF!</v>
      </c>
      <c r="AI55" t="e">
        <f>AND(#REF!,"AAAAADob7yI=")</f>
        <v>#REF!</v>
      </c>
      <c r="AJ55" t="e">
        <f>AND(#REF!,"AAAAADob7yM=")</f>
        <v>#REF!</v>
      </c>
      <c r="AK55" t="e">
        <f>AND(#REF!,"AAAAADob7yQ=")</f>
        <v>#REF!</v>
      </c>
      <c r="AL55" t="e">
        <f>AND(#REF!,"AAAAADob7yU=")</f>
        <v>#REF!</v>
      </c>
      <c r="AM55" t="e">
        <f>AND(#REF!,"AAAAADob7yY=")</f>
        <v>#REF!</v>
      </c>
      <c r="AN55" t="e">
        <f>AND(#REF!,"AAAAADob7yc=")</f>
        <v>#REF!</v>
      </c>
      <c r="AO55" t="e">
        <f>AND(#REF!,"AAAAADob7yg=")</f>
        <v>#REF!</v>
      </c>
      <c r="AP55" t="e">
        <f>AND(#REF!,"AAAAADob7yk=")</f>
        <v>#REF!</v>
      </c>
      <c r="AQ55" t="e">
        <f>AND(#REF!,"AAAAADob7yo=")</f>
        <v>#REF!</v>
      </c>
      <c r="AR55" t="e">
        <f>AND(#REF!,"AAAAADob7ys=")</f>
        <v>#REF!</v>
      </c>
      <c r="AS55" t="e">
        <f>AND(#REF!,"AAAAADob7yw=")</f>
        <v>#REF!</v>
      </c>
      <c r="AT55" t="e">
        <f>AND(#REF!,"AAAAADob7y0=")</f>
        <v>#REF!</v>
      </c>
      <c r="AU55" t="e">
        <f>AND(#REF!,"AAAAADob7y4=")</f>
        <v>#REF!</v>
      </c>
      <c r="AV55" t="e">
        <f>AND(#REF!,"AAAAADob7y8=")</f>
        <v>#REF!</v>
      </c>
      <c r="AW55" t="e">
        <f>AND(#REF!,"AAAAADob7zA=")</f>
        <v>#REF!</v>
      </c>
      <c r="AX55" t="e">
        <f>AND(#REF!,"AAAAADob7zE=")</f>
        <v>#REF!</v>
      </c>
      <c r="AY55" t="e">
        <f>AND(#REF!,"AAAAADob7zI=")</f>
        <v>#REF!</v>
      </c>
      <c r="AZ55" t="e">
        <f>AND(#REF!,"AAAAADob7zM=")</f>
        <v>#REF!</v>
      </c>
      <c r="BA55" t="e">
        <f>AND(#REF!,"AAAAADob7zQ=")</f>
        <v>#REF!</v>
      </c>
      <c r="BB55" t="e">
        <f>AND(#REF!,"AAAAADob7zU=")</f>
        <v>#REF!</v>
      </c>
      <c r="BC55" t="e">
        <f>AND(#REF!,"AAAAADob7zY=")</f>
        <v>#REF!</v>
      </c>
      <c r="BD55" t="e">
        <f>AND(#REF!,"AAAAADob7zc=")</f>
        <v>#REF!</v>
      </c>
      <c r="BE55" t="e">
        <f>AND(#REF!,"AAAAADob7zg=")</f>
        <v>#REF!</v>
      </c>
      <c r="BF55" t="e">
        <f>AND(#REF!,"AAAAADob7zk=")</f>
        <v>#REF!</v>
      </c>
      <c r="BG55" t="e">
        <f>IF(#REF!,"AAAAADob7zo=",0)</f>
        <v>#REF!</v>
      </c>
      <c r="BH55" t="e">
        <f>AND(#REF!,"AAAAADob7zs=")</f>
        <v>#REF!</v>
      </c>
      <c r="BI55" t="e">
        <f>AND(#REF!,"AAAAADob7zw=")</f>
        <v>#REF!</v>
      </c>
      <c r="BJ55" t="e">
        <f>AND(#REF!,"AAAAADob7z0=")</f>
        <v>#REF!</v>
      </c>
      <c r="BK55" t="e">
        <f>AND(#REF!,"AAAAADob7z4=")</f>
        <v>#REF!</v>
      </c>
      <c r="BL55" t="e">
        <f>AND(#REF!,"AAAAADob7z8=")</f>
        <v>#REF!</v>
      </c>
      <c r="BM55" t="e">
        <f>AND(#REF!,"AAAAADob70A=")</f>
        <v>#REF!</v>
      </c>
      <c r="BN55" t="e">
        <f>AND(#REF!,"AAAAADob70E=")</f>
        <v>#REF!</v>
      </c>
      <c r="BO55" t="e">
        <f>AND(#REF!,"AAAAADob70I=")</f>
        <v>#REF!</v>
      </c>
      <c r="BP55" t="e">
        <f>AND(#REF!,"AAAAADob70M=")</f>
        <v>#REF!</v>
      </c>
      <c r="BQ55" t="e">
        <f>AND(#REF!,"AAAAADob70Q=")</f>
        <v>#REF!</v>
      </c>
      <c r="BR55" t="e">
        <f>AND(#REF!,"AAAAADob70U=")</f>
        <v>#REF!</v>
      </c>
      <c r="BS55" t="e">
        <f>AND(#REF!,"AAAAADob70Y=")</f>
        <v>#REF!</v>
      </c>
      <c r="BT55" t="e">
        <f>AND(#REF!,"AAAAADob70c=")</f>
        <v>#REF!</v>
      </c>
      <c r="BU55" t="e">
        <f>AND(#REF!,"AAAAADob70g=")</f>
        <v>#REF!</v>
      </c>
      <c r="BV55" t="e">
        <f>AND(#REF!,"AAAAADob70k=")</f>
        <v>#REF!</v>
      </c>
      <c r="BW55" t="e">
        <f>AND(#REF!,"AAAAADob70o=")</f>
        <v>#REF!</v>
      </c>
      <c r="BX55" t="e">
        <f>AND(#REF!,"AAAAADob70s=")</f>
        <v>#REF!</v>
      </c>
      <c r="BY55" t="e">
        <f>AND(#REF!,"AAAAADob70w=")</f>
        <v>#REF!</v>
      </c>
      <c r="BZ55" t="e">
        <f>AND(#REF!,"AAAAADob700=")</f>
        <v>#REF!</v>
      </c>
      <c r="CA55" t="e">
        <f>AND(#REF!,"AAAAADob704=")</f>
        <v>#REF!</v>
      </c>
      <c r="CB55" t="e">
        <f>AND(#REF!,"AAAAADob708=")</f>
        <v>#REF!</v>
      </c>
      <c r="CC55" t="e">
        <f>AND(#REF!,"AAAAADob71A=")</f>
        <v>#REF!</v>
      </c>
      <c r="CD55" t="e">
        <f>AND(#REF!,"AAAAADob71E=")</f>
        <v>#REF!</v>
      </c>
      <c r="CE55" t="e">
        <f>AND(#REF!,"AAAAADob71I=")</f>
        <v>#REF!</v>
      </c>
      <c r="CF55" t="e">
        <f>IF(#REF!,"AAAAADob71M=",0)</f>
        <v>#REF!</v>
      </c>
      <c r="CG55" t="e">
        <f>AND(#REF!,"AAAAADob71Q=")</f>
        <v>#REF!</v>
      </c>
      <c r="CH55" t="e">
        <f>AND(#REF!,"AAAAADob71U=")</f>
        <v>#REF!</v>
      </c>
      <c r="CI55" t="e">
        <f>AND(#REF!,"AAAAADob71Y=")</f>
        <v>#REF!</v>
      </c>
      <c r="CJ55" t="e">
        <f>AND(#REF!,"AAAAADob71c=")</f>
        <v>#REF!</v>
      </c>
      <c r="CK55" t="e">
        <f>AND(#REF!,"AAAAADob71g=")</f>
        <v>#REF!</v>
      </c>
      <c r="CL55" t="e">
        <f>AND(#REF!,"AAAAADob71k=")</f>
        <v>#REF!</v>
      </c>
      <c r="CM55" t="e">
        <f>AND(#REF!,"AAAAADob71o=")</f>
        <v>#REF!</v>
      </c>
      <c r="CN55" t="e">
        <f>AND(#REF!,"AAAAADob71s=")</f>
        <v>#REF!</v>
      </c>
      <c r="CO55" t="e">
        <f>AND(#REF!,"AAAAADob71w=")</f>
        <v>#REF!</v>
      </c>
      <c r="CP55" t="e">
        <f>AND(#REF!,"AAAAADob710=")</f>
        <v>#REF!</v>
      </c>
      <c r="CQ55" t="e">
        <f>AND(#REF!,"AAAAADob714=")</f>
        <v>#REF!</v>
      </c>
      <c r="CR55" t="e">
        <f>AND(#REF!,"AAAAADob718=")</f>
        <v>#REF!</v>
      </c>
      <c r="CS55" t="e">
        <f>AND(#REF!,"AAAAADob72A=")</f>
        <v>#REF!</v>
      </c>
      <c r="CT55" t="e">
        <f>AND(#REF!,"AAAAADob72E=")</f>
        <v>#REF!</v>
      </c>
      <c r="CU55" t="e">
        <f>AND(#REF!,"AAAAADob72I=")</f>
        <v>#REF!</v>
      </c>
      <c r="CV55" t="e">
        <f>AND(#REF!,"AAAAADob72M=")</f>
        <v>#REF!</v>
      </c>
      <c r="CW55" t="e">
        <f>AND(#REF!,"AAAAADob72Q=")</f>
        <v>#REF!</v>
      </c>
      <c r="CX55" t="e">
        <f>AND(#REF!,"AAAAADob72U=")</f>
        <v>#REF!</v>
      </c>
      <c r="CY55" t="e">
        <f>AND(#REF!,"AAAAADob72Y=")</f>
        <v>#REF!</v>
      </c>
      <c r="CZ55" t="e">
        <f>AND(#REF!,"AAAAADob72c=")</f>
        <v>#REF!</v>
      </c>
      <c r="DA55" t="e">
        <f>AND(#REF!,"AAAAADob72g=")</f>
        <v>#REF!</v>
      </c>
      <c r="DB55" t="e">
        <f>AND(#REF!,"AAAAADob72k=")</f>
        <v>#REF!</v>
      </c>
      <c r="DC55" t="e">
        <f>AND(#REF!,"AAAAADob72o=")</f>
        <v>#REF!</v>
      </c>
      <c r="DD55" t="e">
        <f>AND(#REF!,"AAAAADob72s=")</f>
        <v>#REF!</v>
      </c>
      <c r="DE55" t="e">
        <f>IF(#REF!,"AAAAADob72w=",0)</f>
        <v>#REF!</v>
      </c>
      <c r="DF55" t="e">
        <f>AND(#REF!,"AAAAADob720=")</f>
        <v>#REF!</v>
      </c>
      <c r="DG55" t="e">
        <f>AND(#REF!,"AAAAADob724=")</f>
        <v>#REF!</v>
      </c>
      <c r="DH55" t="e">
        <f>AND(#REF!,"AAAAADob728=")</f>
        <v>#REF!</v>
      </c>
      <c r="DI55" t="e">
        <f>AND(#REF!,"AAAAADob73A=")</f>
        <v>#REF!</v>
      </c>
      <c r="DJ55" t="e">
        <f>AND(#REF!,"AAAAADob73E=")</f>
        <v>#REF!</v>
      </c>
      <c r="DK55" t="e">
        <f>AND(#REF!,"AAAAADob73I=")</f>
        <v>#REF!</v>
      </c>
      <c r="DL55" t="e">
        <f>AND(#REF!,"AAAAADob73M=")</f>
        <v>#REF!</v>
      </c>
      <c r="DM55" t="e">
        <f>AND(#REF!,"AAAAADob73Q=")</f>
        <v>#REF!</v>
      </c>
      <c r="DN55" t="e">
        <f>AND(#REF!,"AAAAADob73U=")</f>
        <v>#REF!</v>
      </c>
      <c r="DO55" t="e">
        <f>AND(#REF!,"AAAAADob73Y=")</f>
        <v>#REF!</v>
      </c>
      <c r="DP55" t="e">
        <f>AND(#REF!,"AAAAADob73c=")</f>
        <v>#REF!</v>
      </c>
      <c r="DQ55" t="e">
        <f>AND(#REF!,"AAAAADob73g=")</f>
        <v>#REF!</v>
      </c>
      <c r="DR55" t="e">
        <f>AND(#REF!,"AAAAADob73k=")</f>
        <v>#REF!</v>
      </c>
      <c r="DS55" t="e">
        <f>AND(#REF!,"AAAAADob73o=")</f>
        <v>#REF!</v>
      </c>
      <c r="DT55" t="e">
        <f>AND(#REF!,"AAAAADob73s=")</f>
        <v>#REF!</v>
      </c>
      <c r="DU55" t="e">
        <f>AND(#REF!,"AAAAADob73w=")</f>
        <v>#REF!</v>
      </c>
      <c r="DV55" t="e">
        <f>AND(#REF!,"AAAAADob730=")</f>
        <v>#REF!</v>
      </c>
      <c r="DW55" t="e">
        <f>AND(#REF!,"AAAAADob734=")</f>
        <v>#REF!</v>
      </c>
      <c r="DX55" t="e">
        <f>AND(#REF!,"AAAAADob738=")</f>
        <v>#REF!</v>
      </c>
      <c r="DY55" t="e">
        <f>AND(#REF!,"AAAAADob74A=")</f>
        <v>#REF!</v>
      </c>
      <c r="DZ55" t="e">
        <f>AND(#REF!,"AAAAADob74E=")</f>
        <v>#REF!</v>
      </c>
      <c r="EA55" t="e">
        <f>AND(#REF!,"AAAAADob74I=")</f>
        <v>#REF!</v>
      </c>
      <c r="EB55" t="e">
        <f>AND(#REF!,"AAAAADob74M=")</f>
        <v>#REF!</v>
      </c>
      <c r="EC55" t="e">
        <f>AND(#REF!,"AAAAADob74Q=")</f>
        <v>#REF!</v>
      </c>
      <c r="ED55" t="e">
        <f>IF(#REF!,"AAAAADob74U=",0)</f>
        <v>#REF!</v>
      </c>
      <c r="EE55" t="e">
        <f>AND(#REF!,"AAAAADob74Y=")</f>
        <v>#REF!</v>
      </c>
      <c r="EF55" t="e">
        <f>AND(#REF!,"AAAAADob74c=")</f>
        <v>#REF!</v>
      </c>
      <c r="EG55" t="e">
        <f>AND(#REF!,"AAAAADob74g=")</f>
        <v>#REF!</v>
      </c>
      <c r="EH55" t="e">
        <f>AND(#REF!,"AAAAADob74k=")</f>
        <v>#REF!</v>
      </c>
      <c r="EI55" t="e">
        <f>AND(#REF!,"AAAAADob74o=")</f>
        <v>#REF!</v>
      </c>
      <c r="EJ55" t="e">
        <f>AND(#REF!,"AAAAADob74s=")</f>
        <v>#REF!</v>
      </c>
      <c r="EK55" t="e">
        <f>AND(#REF!,"AAAAADob74w=")</f>
        <v>#REF!</v>
      </c>
      <c r="EL55" t="e">
        <f>AND(#REF!,"AAAAADob740=")</f>
        <v>#REF!</v>
      </c>
      <c r="EM55" t="e">
        <f>AND(#REF!,"AAAAADob744=")</f>
        <v>#REF!</v>
      </c>
      <c r="EN55" t="e">
        <f>AND(#REF!,"AAAAADob748=")</f>
        <v>#REF!</v>
      </c>
      <c r="EO55" t="e">
        <f>AND(#REF!,"AAAAADob75A=")</f>
        <v>#REF!</v>
      </c>
      <c r="EP55" t="e">
        <f>AND(#REF!,"AAAAADob75E=")</f>
        <v>#REF!</v>
      </c>
      <c r="EQ55" t="e">
        <f>AND(#REF!,"AAAAADob75I=")</f>
        <v>#REF!</v>
      </c>
      <c r="ER55" t="e">
        <f>AND(#REF!,"AAAAADob75M=")</f>
        <v>#REF!</v>
      </c>
      <c r="ES55" t="e">
        <f>AND(#REF!,"AAAAADob75Q=")</f>
        <v>#REF!</v>
      </c>
      <c r="ET55" t="e">
        <f>AND(#REF!,"AAAAADob75U=")</f>
        <v>#REF!</v>
      </c>
      <c r="EU55" t="e">
        <f>AND(#REF!,"AAAAADob75Y=")</f>
        <v>#REF!</v>
      </c>
      <c r="EV55" t="e">
        <f>AND(#REF!,"AAAAADob75c=")</f>
        <v>#REF!</v>
      </c>
      <c r="EW55" t="e">
        <f>AND(#REF!,"AAAAADob75g=")</f>
        <v>#REF!</v>
      </c>
      <c r="EX55" t="e">
        <f>AND(#REF!,"AAAAADob75k=")</f>
        <v>#REF!</v>
      </c>
      <c r="EY55" t="e">
        <f>AND(#REF!,"AAAAADob75o=")</f>
        <v>#REF!</v>
      </c>
      <c r="EZ55" t="e">
        <f>AND(#REF!,"AAAAADob75s=")</f>
        <v>#REF!</v>
      </c>
      <c r="FA55" t="e">
        <f>AND(#REF!,"AAAAADob75w=")</f>
        <v>#REF!</v>
      </c>
      <c r="FB55" t="e">
        <f>AND(#REF!,"AAAAADob750=")</f>
        <v>#REF!</v>
      </c>
      <c r="FC55" t="e">
        <f>IF(#REF!,"AAAAADob754=",0)</f>
        <v>#REF!</v>
      </c>
      <c r="FD55" t="e">
        <f>AND(#REF!,"AAAAADob758=")</f>
        <v>#REF!</v>
      </c>
      <c r="FE55" t="e">
        <f>AND(#REF!,"AAAAADob76A=")</f>
        <v>#REF!</v>
      </c>
      <c r="FF55" t="e">
        <f>AND(#REF!,"AAAAADob76E=")</f>
        <v>#REF!</v>
      </c>
      <c r="FG55" t="e">
        <f>AND(#REF!,"AAAAADob76I=")</f>
        <v>#REF!</v>
      </c>
      <c r="FH55" t="e">
        <f>AND(#REF!,"AAAAADob76M=")</f>
        <v>#REF!</v>
      </c>
      <c r="FI55" t="e">
        <f>AND(#REF!,"AAAAADob76Q=")</f>
        <v>#REF!</v>
      </c>
      <c r="FJ55" t="e">
        <f>AND(#REF!,"AAAAADob76U=")</f>
        <v>#REF!</v>
      </c>
      <c r="FK55" t="e">
        <f>AND(#REF!,"AAAAADob76Y=")</f>
        <v>#REF!</v>
      </c>
      <c r="FL55" t="e">
        <f>AND(#REF!,"AAAAADob76c=")</f>
        <v>#REF!</v>
      </c>
      <c r="FM55" t="e">
        <f>AND(#REF!,"AAAAADob76g=")</f>
        <v>#REF!</v>
      </c>
      <c r="FN55" t="e">
        <f>AND(#REF!,"AAAAADob76k=")</f>
        <v>#REF!</v>
      </c>
      <c r="FO55" t="e">
        <f>AND(#REF!,"AAAAADob76o=")</f>
        <v>#REF!</v>
      </c>
      <c r="FP55" t="e">
        <f>AND(#REF!,"AAAAADob76s=")</f>
        <v>#REF!</v>
      </c>
      <c r="FQ55" t="e">
        <f>AND(#REF!,"AAAAADob76w=")</f>
        <v>#REF!</v>
      </c>
      <c r="FR55" t="e">
        <f>AND(#REF!,"AAAAADob760=")</f>
        <v>#REF!</v>
      </c>
      <c r="FS55" t="e">
        <f>AND(#REF!,"AAAAADob764=")</f>
        <v>#REF!</v>
      </c>
      <c r="FT55" t="e">
        <f>AND(#REF!,"AAAAADob768=")</f>
        <v>#REF!</v>
      </c>
      <c r="FU55" t="e">
        <f>AND(#REF!,"AAAAADob77A=")</f>
        <v>#REF!</v>
      </c>
      <c r="FV55" t="e">
        <f>AND(#REF!,"AAAAADob77E=")</f>
        <v>#REF!</v>
      </c>
      <c r="FW55" t="e">
        <f>AND(#REF!,"AAAAADob77I=")</f>
        <v>#REF!</v>
      </c>
      <c r="FX55" t="e">
        <f>AND(#REF!,"AAAAADob77M=")</f>
        <v>#REF!</v>
      </c>
      <c r="FY55" t="e">
        <f>AND(#REF!,"AAAAADob77Q=")</f>
        <v>#REF!</v>
      </c>
      <c r="FZ55" t="e">
        <f>AND(#REF!,"AAAAADob77U=")</f>
        <v>#REF!</v>
      </c>
      <c r="GA55" t="e">
        <f>AND(#REF!,"AAAAADob77Y=")</f>
        <v>#REF!</v>
      </c>
      <c r="GB55" t="e">
        <f>IF(#REF!,"AAAAADob77c=",0)</f>
        <v>#REF!</v>
      </c>
      <c r="GC55" t="e">
        <f>AND(#REF!,"AAAAADob77g=")</f>
        <v>#REF!</v>
      </c>
      <c r="GD55" t="e">
        <f>AND(#REF!,"AAAAADob77k=")</f>
        <v>#REF!</v>
      </c>
      <c r="GE55" t="e">
        <f>AND(#REF!,"AAAAADob77o=")</f>
        <v>#REF!</v>
      </c>
      <c r="GF55" t="e">
        <f>AND(#REF!,"AAAAADob77s=")</f>
        <v>#REF!</v>
      </c>
      <c r="GG55" t="e">
        <f>AND(#REF!,"AAAAADob77w=")</f>
        <v>#REF!</v>
      </c>
      <c r="GH55" t="e">
        <f>AND(#REF!,"AAAAADob770=")</f>
        <v>#REF!</v>
      </c>
      <c r="GI55" t="e">
        <f>AND(#REF!,"AAAAADob774=")</f>
        <v>#REF!</v>
      </c>
      <c r="GJ55" t="e">
        <f>AND(#REF!,"AAAAADob778=")</f>
        <v>#REF!</v>
      </c>
      <c r="GK55" t="e">
        <f>AND(#REF!,"AAAAADob78A=")</f>
        <v>#REF!</v>
      </c>
      <c r="GL55" t="e">
        <f>AND(#REF!,"AAAAADob78E=")</f>
        <v>#REF!</v>
      </c>
      <c r="GM55" t="e">
        <f>AND(#REF!,"AAAAADob78I=")</f>
        <v>#REF!</v>
      </c>
      <c r="GN55" t="e">
        <f>AND(#REF!,"AAAAADob78M=")</f>
        <v>#REF!</v>
      </c>
      <c r="GO55" t="e">
        <f>AND(#REF!,"AAAAADob78Q=")</f>
        <v>#REF!</v>
      </c>
      <c r="GP55" t="e">
        <f>AND(#REF!,"AAAAADob78U=")</f>
        <v>#REF!</v>
      </c>
      <c r="GQ55" t="e">
        <f>AND(#REF!,"AAAAADob78Y=")</f>
        <v>#REF!</v>
      </c>
      <c r="GR55" t="e">
        <f>AND(#REF!,"AAAAADob78c=")</f>
        <v>#REF!</v>
      </c>
      <c r="GS55" t="e">
        <f>AND(#REF!,"AAAAADob78g=")</f>
        <v>#REF!</v>
      </c>
      <c r="GT55" t="e">
        <f>AND(#REF!,"AAAAADob78k=")</f>
        <v>#REF!</v>
      </c>
      <c r="GU55" t="e">
        <f>AND(#REF!,"AAAAADob78o=")</f>
        <v>#REF!</v>
      </c>
      <c r="GV55" t="e">
        <f>AND(#REF!,"AAAAADob78s=")</f>
        <v>#REF!</v>
      </c>
      <c r="GW55" t="e">
        <f>AND(#REF!,"AAAAADob78w=")</f>
        <v>#REF!</v>
      </c>
      <c r="GX55" t="e">
        <f>AND(#REF!,"AAAAADob780=")</f>
        <v>#REF!</v>
      </c>
      <c r="GY55" t="e">
        <f>AND(#REF!,"AAAAADob784=")</f>
        <v>#REF!</v>
      </c>
      <c r="GZ55" t="e">
        <f>AND(#REF!,"AAAAADob788=")</f>
        <v>#REF!</v>
      </c>
      <c r="HA55" t="e">
        <f>IF(#REF!,"AAAAADob79A=",0)</f>
        <v>#REF!</v>
      </c>
      <c r="HB55" t="e">
        <f>AND(#REF!,"AAAAADob79E=")</f>
        <v>#REF!</v>
      </c>
      <c r="HC55" t="e">
        <f>AND(#REF!,"AAAAADob79I=")</f>
        <v>#REF!</v>
      </c>
      <c r="HD55" t="e">
        <f>AND(#REF!,"AAAAADob79M=")</f>
        <v>#REF!</v>
      </c>
      <c r="HE55" t="e">
        <f>AND(#REF!,"AAAAADob79Q=")</f>
        <v>#REF!</v>
      </c>
      <c r="HF55" t="e">
        <f>AND(#REF!,"AAAAADob79U=")</f>
        <v>#REF!</v>
      </c>
      <c r="HG55" t="e">
        <f>AND(#REF!,"AAAAADob79Y=")</f>
        <v>#REF!</v>
      </c>
      <c r="HH55" t="e">
        <f>AND(#REF!,"AAAAADob79c=")</f>
        <v>#REF!</v>
      </c>
      <c r="HI55" t="e">
        <f>AND(#REF!,"AAAAADob79g=")</f>
        <v>#REF!</v>
      </c>
      <c r="HJ55" t="e">
        <f>AND(#REF!,"AAAAADob79k=")</f>
        <v>#REF!</v>
      </c>
      <c r="HK55" t="e">
        <f>AND(#REF!,"AAAAADob79o=")</f>
        <v>#REF!</v>
      </c>
      <c r="HL55" t="e">
        <f>AND(#REF!,"AAAAADob79s=")</f>
        <v>#REF!</v>
      </c>
      <c r="HM55" t="e">
        <f>AND(#REF!,"AAAAADob79w=")</f>
        <v>#REF!</v>
      </c>
      <c r="HN55" t="e">
        <f>AND(#REF!,"AAAAADob790=")</f>
        <v>#REF!</v>
      </c>
      <c r="HO55" t="e">
        <f>AND(#REF!,"AAAAADob794=")</f>
        <v>#REF!</v>
      </c>
      <c r="HP55" t="e">
        <f>AND(#REF!,"AAAAADob798=")</f>
        <v>#REF!</v>
      </c>
      <c r="HQ55" t="e">
        <f>AND(#REF!,"AAAAADob7+A=")</f>
        <v>#REF!</v>
      </c>
      <c r="HR55" t="e">
        <f>AND(#REF!,"AAAAADob7+E=")</f>
        <v>#REF!</v>
      </c>
      <c r="HS55" t="e">
        <f>AND(#REF!,"AAAAADob7+I=")</f>
        <v>#REF!</v>
      </c>
      <c r="HT55" t="e">
        <f>AND(#REF!,"AAAAADob7+M=")</f>
        <v>#REF!</v>
      </c>
      <c r="HU55" t="e">
        <f>AND(#REF!,"AAAAADob7+Q=")</f>
        <v>#REF!</v>
      </c>
      <c r="HV55" t="e">
        <f>AND(#REF!,"AAAAADob7+U=")</f>
        <v>#REF!</v>
      </c>
      <c r="HW55" t="e">
        <f>AND(#REF!,"AAAAADob7+Y=")</f>
        <v>#REF!</v>
      </c>
      <c r="HX55" t="e">
        <f>AND(#REF!,"AAAAADob7+c=")</f>
        <v>#REF!</v>
      </c>
      <c r="HY55" t="e">
        <f>AND(#REF!,"AAAAADob7+g=")</f>
        <v>#REF!</v>
      </c>
      <c r="HZ55" t="e">
        <f>IF(#REF!,"AAAAADob7+k=",0)</f>
        <v>#REF!</v>
      </c>
      <c r="IA55" t="e">
        <f>IF(#REF!,"AAAAADob7+o=",0)</f>
        <v>#REF!</v>
      </c>
      <c r="IB55" t="e">
        <f>IF(#REF!,"AAAAADob7+s=",0)</f>
        <v>#REF!</v>
      </c>
      <c r="IC55" t="e">
        <f>IF(#REF!,"AAAAADob7+w=",0)</f>
        <v>#REF!</v>
      </c>
      <c r="ID55" t="e">
        <f>IF(#REF!,"AAAAADob7+0=",0)</f>
        <v>#REF!</v>
      </c>
      <c r="IE55" t="e">
        <f>IF(#REF!,"AAAAADob7+4=",0)</f>
        <v>#REF!</v>
      </c>
      <c r="IF55" t="e">
        <f>IF(#REF!,"AAAAADob7+8=",0)</f>
        <v>#REF!</v>
      </c>
      <c r="IG55" t="e">
        <f>IF(#REF!,"AAAAADob7/A=",0)</f>
        <v>#REF!</v>
      </c>
      <c r="IH55" t="e">
        <f>IF(#REF!,"AAAAADob7/E=",0)</f>
        <v>#REF!</v>
      </c>
      <c r="II55" t="e">
        <f>IF(#REF!,"AAAAADob7/I=",0)</f>
        <v>#REF!</v>
      </c>
      <c r="IJ55" t="e">
        <f>IF(#REF!,"AAAAADob7/M=",0)</f>
        <v>#REF!</v>
      </c>
      <c r="IK55" t="e">
        <f>IF(#REF!,"AAAAADob7/Q=",0)</f>
        <v>#REF!</v>
      </c>
      <c r="IL55" t="e">
        <f>IF(#REF!,"AAAAADob7/U=",0)</f>
        <v>#REF!</v>
      </c>
      <c r="IM55" t="e">
        <f>IF(#REF!,"AAAAADob7/Y=",0)</f>
        <v>#REF!</v>
      </c>
      <c r="IN55" t="e">
        <f>IF(#REF!,"AAAAADob7/c=",0)</f>
        <v>#REF!</v>
      </c>
      <c r="IO55" t="e">
        <f>IF(#REF!,"AAAAADob7/g=",0)</f>
        <v>#REF!</v>
      </c>
      <c r="IP55" t="e">
        <f>IF(#REF!,"AAAAADob7/k=",0)</f>
        <v>#REF!</v>
      </c>
      <c r="IQ55" t="e">
        <f>IF(#REF!,"AAAAADob7/o=",0)</f>
        <v>#REF!</v>
      </c>
      <c r="IR55" t="e">
        <f>IF(#REF!,"AAAAADob7/s=",0)</f>
        <v>#REF!</v>
      </c>
      <c r="IS55" t="e">
        <f>IF(#REF!,"AAAAADob7/w=",0)</f>
        <v>#REF!</v>
      </c>
      <c r="IT55" t="e">
        <f>IF(#REF!,"AAAAADob7/0=",0)</f>
        <v>#REF!</v>
      </c>
      <c r="IU55" t="e">
        <f>IF(#REF!,"AAAAADob7/4=",0)</f>
        <v>#REF!</v>
      </c>
      <c r="IV55" t="e">
        <f>IF(#REF!,"AAAAADob7/8=",0)</f>
        <v>#REF!</v>
      </c>
    </row>
    <row r="56" spans="1:256" x14ac:dyDescent="0.25">
      <c r="A56" t="e">
        <f>IF(#REF!,"AAAAAG/2PgA=",0)</f>
        <v>#REF!</v>
      </c>
      <c r="B56" t="e">
        <f>IF(#REF!,"AAAAAG/2PgE=",0)</f>
        <v>#REF!</v>
      </c>
      <c r="C56" t="e">
        <f>AND(#REF!,"AAAAAG/2PgI=")</f>
        <v>#REF!</v>
      </c>
      <c r="D56" t="e">
        <f>AND(#REF!,"AAAAAG/2PgM=")</f>
        <v>#REF!</v>
      </c>
      <c r="E56" t="e">
        <f>AND(#REF!,"AAAAAG/2PgQ=")</f>
        <v>#REF!</v>
      </c>
      <c r="F56" t="e">
        <f>AND(#REF!,"AAAAAG/2PgU=")</f>
        <v>#REF!</v>
      </c>
      <c r="G56" t="e">
        <f>AND(#REF!,"AAAAAG/2PgY=")</f>
        <v>#REF!</v>
      </c>
      <c r="H56" t="e">
        <f>AND(#REF!,"AAAAAG/2Pgc=")</f>
        <v>#REF!</v>
      </c>
      <c r="I56" t="e">
        <f>AND(#REF!,"AAAAAG/2Pgg=")</f>
        <v>#REF!</v>
      </c>
      <c r="J56" t="e">
        <f>AND(#REF!,"AAAAAG/2Pgk=")</f>
        <v>#REF!</v>
      </c>
      <c r="K56" t="e">
        <f>AND(#REF!,"AAAAAG/2Pgo=")</f>
        <v>#REF!</v>
      </c>
      <c r="L56" t="e">
        <f>AND(#REF!,"AAAAAG/2Pgs=")</f>
        <v>#REF!</v>
      </c>
      <c r="M56" t="e">
        <f>AND(#REF!,"AAAAAG/2Pgw=")</f>
        <v>#REF!</v>
      </c>
      <c r="N56" t="e">
        <f>AND(#REF!,"AAAAAG/2Pg0=")</f>
        <v>#REF!</v>
      </c>
      <c r="O56" t="e">
        <f>AND(#REF!,"AAAAAG/2Pg4=")</f>
        <v>#REF!</v>
      </c>
      <c r="P56" t="e">
        <f>AND(#REF!,"AAAAAG/2Pg8=")</f>
        <v>#REF!</v>
      </c>
      <c r="Q56" t="e">
        <f>AND(#REF!,"AAAAAG/2PhA=")</f>
        <v>#REF!</v>
      </c>
      <c r="R56" t="e">
        <f>AND(#REF!,"AAAAAG/2PhE=")</f>
        <v>#REF!</v>
      </c>
      <c r="S56" t="e">
        <f>AND(#REF!,"AAAAAG/2PhI=")</f>
        <v>#REF!</v>
      </c>
      <c r="T56" t="e">
        <f>AND(#REF!,"AAAAAG/2PhM=")</f>
        <v>#REF!</v>
      </c>
      <c r="U56" t="e">
        <f>AND(#REF!,"AAAAAG/2PhQ=")</f>
        <v>#REF!</v>
      </c>
      <c r="V56" t="e">
        <f>AND(#REF!,"AAAAAG/2PhU=")</f>
        <v>#REF!</v>
      </c>
      <c r="W56" t="e">
        <f>AND(#REF!,"AAAAAG/2PhY=")</f>
        <v>#REF!</v>
      </c>
      <c r="X56" t="e">
        <f>AND(#REF!,"AAAAAG/2Phc=")</f>
        <v>#REF!</v>
      </c>
      <c r="Y56" t="e">
        <f>AND(#REF!,"AAAAAG/2Phg=")</f>
        <v>#REF!</v>
      </c>
      <c r="Z56" t="e">
        <f>IF(#REF!,"AAAAAG/2Phk=",0)</f>
        <v>#REF!</v>
      </c>
      <c r="AA56" t="e">
        <f>AND(#REF!,"AAAAAG/2Pho=")</f>
        <v>#REF!</v>
      </c>
      <c r="AB56" t="e">
        <f>AND(#REF!,"AAAAAG/2Phs=")</f>
        <v>#REF!</v>
      </c>
      <c r="AC56" t="e">
        <f>AND(#REF!,"AAAAAG/2Phw=")</f>
        <v>#REF!</v>
      </c>
      <c r="AD56" t="e">
        <f>AND(#REF!,"AAAAAG/2Ph0=")</f>
        <v>#REF!</v>
      </c>
      <c r="AE56" t="e">
        <f>AND(#REF!,"AAAAAG/2Ph4=")</f>
        <v>#REF!</v>
      </c>
      <c r="AF56" t="e">
        <f>AND(#REF!,"AAAAAG/2Ph8=")</f>
        <v>#REF!</v>
      </c>
      <c r="AG56" t="e">
        <f>AND(#REF!,"AAAAAG/2PiA=")</f>
        <v>#REF!</v>
      </c>
      <c r="AH56" t="e">
        <f>AND(#REF!,"AAAAAG/2PiE=")</f>
        <v>#REF!</v>
      </c>
      <c r="AI56" t="e">
        <f>AND(#REF!,"AAAAAG/2PiI=")</f>
        <v>#REF!</v>
      </c>
      <c r="AJ56" t="e">
        <f>AND(#REF!,"AAAAAG/2PiM=")</f>
        <v>#REF!</v>
      </c>
      <c r="AK56" t="e">
        <f>AND(#REF!,"AAAAAG/2PiQ=")</f>
        <v>#REF!</v>
      </c>
      <c r="AL56" t="e">
        <f>AND(#REF!,"AAAAAG/2PiU=")</f>
        <v>#REF!</v>
      </c>
      <c r="AM56" t="e">
        <f>AND(#REF!,"AAAAAG/2PiY=")</f>
        <v>#REF!</v>
      </c>
      <c r="AN56" t="e">
        <f>AND(#REF!,"AAAAAG/2Pic=")</f>
        <v>#REF!</v>
      </c>
      <c r="AO56" t="e">
        <f>AND(#REF!,"AAAAAG/2Pig=")</f>
        <v>#REF!</v>
      </c>
      <c r="AP56" t="e">
        <f>AND(#REF!,"AAAAAG/2Pik=")</f>
        <v>#REF!</v>
      </c>
      <c r="AQ56" t="e">
        <f>AND(#REF!,"AAAAAG/2Pio=")</f>
        <v>#REF!</v>
      </c>
      <c r="AR56" t="e">
        <f>AND(#REF!,"AAAAAG/2Pis=")</f>
        <v>#REF!</v>
      </c>
      <c r="AS56" t="e">
        <f>AND(#REF!,"AAAAAG/2Piw=")</f>
        <v>#REF!</v>
      </c>
      <c r="AT56" t="e">
        <f>AND(#REF!,"AAAAAG/2Pi0=")</f>
        <v>#REF!</v>
      </c>
      <c r="AU56" t="e">
        <f>AND(#REF!,"AAAAAG/2Pi4=")</f>
        <v>#REF!</v>
      </c>
      <c r="AV56" t="e">
        <f>AND(#REF!,"AAAAAG/2Pi8=")</f>
        <v>#REF!</v>
      </c>
      <c r="AW56" t="e">
        <f>AND(#REF!,"AAAAAG/2PjA=")</f>
        <v>#REF!</v>
      </c>
      <c r="AX56" t="e">
        <f>IF(#REF!,"AAAAAG/2PjE=",0)</f>
        <v>#REF!</v>
      </c>
      <c r="AY56" t="e">
        <f>AND(#REF!,"AAAAAG/2PjI=")</f>
        <v>#REF!</v>
      </c>
      <c r="AZ56" t="e">
        <f>AND(#REF!,"AAAAAG/2PjM=")</f>
        <v>#REF!</v>
      </c>
      <c r="BA56" t="e">
        <f>AND(#REF!,"AAAAAG/2PjQ=")</f>
        <v>#REF!</v>
      </c>
      <c r="BB56" t="e">
        <f>AND(#REF!,"AAAAAG/2PjU=")</f>
        <v>#REF!</v>
      </c>
      <c r="BC56" t="e">
        <f>AND(#REF!,"AAAAAG/2PjY=")</f>
        <v>#REF!</v>
      </c>
      <c r="BD56" t="e">
        <f>AND(#REF!,"AAAAAG/2Pjc=")</f>
        <v>#REF!</v>
      </c>
      <c r="BE56" t="e">
        <f>AND(#REF!,"AAAAAG/2Pjg=")</f>
        <v>#REF!</v>
      </c>
      <c r="BF56" t="e">
        <f>AND(#REF!,"AAAAAG/2Pjk=")</f>
        <v>#REF!</v>
      </c>
      <c r="BG56" t="e">
        <f>AND(#REF!,"AAAAAG/2Pjo=")</f>
        <v>#REF!</v>
      </c>
      <c r="BH56" t="e">
        <f>AND(#REF!,"AAAAAG/2Pjs=")</f>
        <v>#REF!</v>
      </c>
      <c r="BI56" t="e">
        <f>AND(#REF!,"AAAAAG/2Pjw=")</f>
        <v>#REF!</v>
      </c>
      <c r="BJ56" t="e">
        <f>AND(#REF!,"AAAAAG/2Pj0=")</f>
        <v>#REF!</v>
      </c>
      <c r="BK56" t="e">
        <f>AND(#REF!,"AAAAAG/2Pj4=")</f>
        <v>#REF!</v>
      </c>
      <c r="BL56" t="e">
        <f>AND(#REF!,"AAAAAG/2Pj8=")</f>
        <v>#REF!</v>
      </c>
      <c r="BM56" t="e">
        <f>AND(#REF!,"AAAAAG/2PkA=")</f>
        <v>#REF!</v>
      </c>
      <c r="BN56" t="e">
        <f>AND(#REF!,"AAAAAG/2PkE=")</f>
        <v>#REF!</v>
      </c>
      <c r="BO56" t="e">
        <f>AND(#REF!,"AAAAAG/2PkI=")</f>
        <v>#REF!</v>
      </c>
      <c r="BP56" t="e">
        <f>AND(#REF!,"AAAAAG/2PkM=")</f>
        <v>#REF!</v>
      </c>
      <c r="BQ56" t="e">
        <f>AND(#REF!,"AAAAAG/2PkQ=")</f>
        <v>#REF!</v>
      </c>
      <c r="BR56" t="e">
        <f>AND(#REF!,"AAAAAG/2PkU=")</f>
        <v>#REF!</v>
      </c>
      <c r="BS56" t="e">
        <f>AND(#REF!,"AAAAAG/2PkY=")</f>
        <v>#REF!</v>
      </c>
      <c r="BT56" t="e">
        <f>AND(#REF!,"AAAAAG/2Pkc=")</f>
        <v>#REF!</v>
      </c>
      <c r="BU56" t="e">
        <f>AND(#REF!,"AAAAAG/2Pkg=")</f>
        <v>#REF!</v>
      </c>
      <c r="BV56" t="e">
        <f>IF(#REF!,"AAAAAG/2Pkk=",0)</f>
        <v>#REF!</v>
      </c>
      <c r="BW56" t="e">
        <f>AND(#REF!,"AAAAAG/2Pko=")</f>
        <v>#REF!</v>
      </c>
      <c r="BX56" t="e">
        <f>AND(#REF!,"AAAAAG/2Pks=")</f>
        <v>#REF!</v>
      </c>
      <c r="BY56" t="e">
        <f>AND(#REF!,"AAAAAG/2Pkw=")</f>
        <v>#REF!</v>
      </c>
      <c r="BZ56" t="e">
        <f>AND(#REF!,"AAAAAG/2Pk0=")</f>
        <v>#REF!</v>
      </c>
      <c r="CA56" t="e">
        <f>AND(#REF!,"AAAAAG/2Pk4=")</f>
        <v>#REF!</v>
      </c>
      <c r="CB56" t="e">
        <f>AND(#REF!,"AAAAAG/2Pk8=")</f>
        <v>#REF!</v>
      </c>
      <c r="CC56" t="e">
        <f>AND(#REF!,"AAAAAG/2PlA=")</f>
        <v>#REF!</v>
      </c>
      <c r="CD56" t="e">
        <f>AND(#REF!,"AAAAAG/2PlE=")</f>
        <v>#REF!</v>
      </c>
      <c r="CE56" t="e">
        <f>AND(#REF!,"AAAAAG/2PlI=")</f>
        <v>#REF!</v>
      </c>
      <c r="CF56" t="e">
        <f>AND(#REF!,"AAAAAG/2PlM=")</f>
        <v>#REF!</v>
      </c>
      <c r="CG56" t="e">
        <f>AND(#REF!,"AAAAAG/2PlQ=")</f>
        <v>#REF!</v>
      </c>
      <c r="CH56" t="e">
        <f>AND(#REF!,"AAAAAG/2PlU=")</f>
        <v>#REF!</v>
      </c>
      <c r="CI56" t="e">
        <f>AND(#REF!,"AAAAAG/2PlY=")</f>
        <v>#REF!</v>
      </c>
      <c r="CJ56" t="e">
        <f>AND(#REF!,"AAAAAG/2Plc=")</f>
        <v>#REF!</v>
      </c>
      <c r="CK56" t="e">
        <f>AND(#REF!,"AAAAAG/2Plg=")</f>
        <v>#REF!</v>
      </c>
      <c r="CL56" t="e">
        <f>AND(#REF!,"AAAAAG/2Plk=")</f>
        <v>#REF!</v>
      </c>
      <c r="CM56" t="e">
        <f>AND(#REF!,"AAAAAG/2Plo=")</f>
        <v>#REF!</v>
      </c>
      <c r="CN56" t="e">
        <f>AND(#REF!,"AAAAAG/2Pls=")</f>
        <v>#REF!</v>
      </c>
      <c r="CO56" t="e">
        <f>AND(#REF!,"AAAAAG/2Plw=")</f>
        <v>#REF!</v>
      </c>
      <c r="CP56" t="e">
        <f>AND(#REF!,"AAAAAG/2Pl0=")</f>
        <v>#REF!</v>
      </c>
      <c r="CQ56" t="e">
        <f>AND(#REF!,"AAAAAG/2Pl4=")</f>
        <v>#REF!</v>
      </c>
      <c r="CR56" t="e">
        <f>AND(#REF!,"AAAAAG/2Pl8=")</f>
        <v>#REF!</v>
      </c>
      <c r="CS56" t="e">
        <f>AND(#REF!,"AAAAAG/2PmA=")</f>
        <v>#REF!</v>
      </c>
      <c r="CT56" t="e">
        <f>IF(#REF!,"AAAAAG/2PmE=",0)</f>
        <v>#REF!</v>
      </c>
      <c r="CU56" t="e">
        <f>AND(#REF!,"AAAAAG/2PmI=")</f>
        <v>#REF!</v>
      </c>
      <c r="CV56" t="e">
        <f>AND(#REF!,"AAAAAG/2PmM=")</f>
        <v>#REF!</v>
      </c>
      <c r="CW56" t="e">
        <f>AND(#REF!,"AAAAAG/2PmQ=")</f>
        <v>#REF!</v>
      </c>
      <c r="CX56" t="e">
        <f>AND(#REF!,"AAAAAG/2PmU=")</f>
        <v>#REF!</v>
      </c>
      <c r="CY56" t="e">
        <f>AND(#REF!,"AAAAAG/2PmY=")</f>
        <v>#REF!</v>
      </c>
      <c r="CZ56" t="e">
        <f>AND(#REF!,"AAAAAG/2Pmc=")</f>
        <v>#REF!</v>
      </c>
      <c r="DA56" t="e">
        <f>AND(#REF!,"AAAAAG/2Pmg=")</f>
        <v>#REF!</v>
      </c>
      <c r="DB56" t="e">
        <f>AND(#REF!,"AAAAAG/2Pmk=")</f>
        <v>#REF!</v>
      </c>
      <c r="DC56" t="e">
        <f>AND(#REF!,"AAAAAG/2Pmo=")</f>
        <v>#REF!</v>
      </c>
      <c r="DD56" t="e">
        <f>AND(#REF!,"AAAAAG/2Pms=")</f>
        <v>#REF!</v>
      </c>
      <c r="DE56" t="e">
        <f>AND(#REF!,"AAAAAG/2Pmw=")</f>
        <v>#REF!</v>
      </c>
      <c r="DF56" t="e">
        <f>AND(#REF!,"AAAAAG/2Pm0=")</f>
        <v>#REF!</v>
      </c>
      <c r="DG56" t="e">
        <f>AND(#REF!,"AAAAAG/2Pm4=")</f>
        <v>#REF!</v>
      </c>
      <c r="DH56" t="e">
        <f>AND(#REF!,"AAAAAG/2Pm8=")</f>
        <v>#REF!</v>
      </c>
      <c r="DI56" t="e">
        <f>AND(#REF!,"AAAAAG/2PnA=")</f>
        <v>#REF!</v>
      </c>
      <c r="DJ56" t="e">
        <f>AND(#REF!,"AAAAAG/2PnE=")</f>
        <v>#REF!</v>
      </c>
      <c r="DK56" t="e">
        <f>AND(#REF!,"AAAAAG/2PnI=")</f>
        <v>#REF!</v>
      </c>
      <c r="DL56" t="e">
        <f>AND(#REF!,"AAAAAG/2PnM=")</f>
        <v>#REF!</v>
      </c>
      <c r="DM56" t="e">
        <f>AND(#REF!,"AAAAAG/2PnQ=")</f>
        <v>#REF!</v>
      </c>
      <c r="DN56" t="e">
        <f>AND(#REF!,"AAAAAG/2PnU=")</f>
        <v>#REF!</v>
      </c>
      <c r="DO56" t="e">
        <f>AND(#REF!,"AAAAAG/2PnY=")</f>
        <v>#REF!</v>
      </c>
      <c r="DP56" t="e">
        <f>AND(#REF!,"AAAAAG/2Pnc=")</f>
        <v>#REF!</v>
      </c>
      <c r="DQ56" t="e">
        <f>AND(#REF!,"AAAAAG/2Png=")</f>
        <v>#REF!</v>
      </c>
      <c r="DR56" t="e">
        <f>IF(#REF!,"AAAAAG/2Pnk=",0)</f>
        <v>#REF!</v>
      </c>
      <c r="DS56" t="e">
        <f>AND(#REF!,"AAAAAG/2Pno=")</f>
        <v>#REF!</v>
      </c>
      <c r="DT56" t="e">
        <f>AND(#REF!,"AAAAAG/2Pns=")</f>
        <v>#REF!</v>
      </c>
      <c r="DU56" t="e">
        <f>AND(#REF!,"AAAAAG/2Pnw=")</f>
        <v>#REF!</v>
      </c>
      <c r="DV56" t="e">
        <f>AND(#REF!,"AAAAAG/2Pn0=")</f>
        <v>#REF!</v>
      </c>
      <c r="DW56" t="e">
        <f>AND(#REF!,"AAAAAG/2Pn4=")</f>
        <v>#REF!</v>
      </c>
      <c r="DX56" t="e">
        <f>AND(#REF!,"AAAAAG/2Pn8=")</f>
        <v>#REF!</v>
      </c>
      <c r="DY56" t="e">
        <f>AND(#REF!,"AAAAAG/2PoA=")</f>
        <v>#REF!</v>
      </c>
      <c r="DZ56" t="e">
        <f>AND(#REF!,"AAAAAG/2PoE=")</f>
        <v>#REF!</v>
      </c>
      <c r="EA56" t="e">
        <f>AND(#REF!,"AAAAAG/2PoI=")</f>
        <v>#REF!</v>
      </c>
      <c r="EB56" t="e">
        <f>AND(#REF!,"AAAAAG/2PoM=")</f>
        <v>#REF!</v>
      </c>
      <c r="EC56" t="e">
        <f>AND(#REF!,"AAAAAG/2PoQ=")</f>
        <v>#REF!</v>
      </c>
      <c r="ED56" t="e">
        <f>AND(#REF!,"AAAAAG/2PoU=")</f>
        <v>#REF!</v>
      </c>
      <c r="EE56" t="e">
        <f>AND(#REF!,"AAAAAG/2PoY=")</f>
        <v>#REF!</v>
      </c>
      <c r="EF56" t="e">
        <f>AND(#REF!,"AAAAAG/2Poc=")</f>
        <v>#REF!</v>
      </c>
      <c r="EG56" t="e">
        <f>AND(#REF!,"AAAAAG/2Pog=")</f>
        <v>#REF!</v>
      </c>
      <c r="EH56" t="e">
        <f>AND(#REF!,"AAAAAG/2Pok=")</f>
        <v>#REF!</v>
      </c>
      <c r="EI56" t="e">
        <f>AND(#REF!,"AAAAAG/2Poo=")</f>
        <v>#REF!</v>
      </c>
      <c r="EJ56" t="e">
        <f>AND(#REF!,"AAAAAG/2Pos=")</f>
        <v>#REF!</v>
      </c>
      <c r="EK56" t="e">
        <f>AND(#REF!,"AAAAAG/2Pow=")</f>
        <v>#REF!</v>
      </c>
      <c r="EL56" t="e">
        <f>AND(#REF!,"AAAAAG/2Po0=")</f>
        <v>#REF!</v>
      </c>
      <c r="EM56" t="e">
        <f>AND(#REF!,"AAAAAG/2Po4=")</f>
        <v>#REF!</v>
      </c>
      <c r="EN56" t="e">
        <f>AND(#REF!,"AAAAAG/2Po8=")</f>
        <v>#REF!</v>
      </c>
      <c r="EO56" t="e">
        <f>AND(#REF!,"AAAAAG/2PpA=")</f>
        <v>#REF!</v>
      </c>
      <c r="EP56" t="e">
        <f>IF(#REF!,"AAAAAG/2PpE=",0)</f>
        <v>#REF!</v>
      </c>
      <c r="EQ56" t="e">
        <f>AND(#REF!,"AAAAAG/2PpI=")</f>
        <v>#REF!</v>
      </c>
      <c r="ER56" t="e">
        <f>AND(#REF!,"AAAAAG/2PpM=")</f>
        <v>#REF!</v>
      </c>
      <c r="ES56" t="e">
        <f>AND(#REF!,"AAAAAG/2PpQ=")</f>
        <v>#REF!</v>
      </c>
      <c r="ET56" t="e">
        <f>AND(#REF!,"AAAAAG/2PpU=")</f>
        <v>#REF!</v>
      </c>
      <c r="EU56" t="e">
        <f>AND(#REF!,"AAAAAG/2PpY=")</f>
        <v>#REF!</v>
      </c>
      <c r="EV56" t="e">
        <f>AND(#REF!,"AAAAAG/2Ppc=")</f>
        <v>#REF!</v>
      </c>
      <c r="EW56" t="e">
        <f>AND(#REF!,"AAAAAG/2Ppg=")</f>
        <v>#REF!</v>
      </c>
      <c r="EX56" t="e">
        <f>AND(#REF!,"AAAAAG/2Ppk=")</f>
        <v>#REF!</v>
      </c>
      <c r="EY56" t="e">
        <f>AND(#REF!,"AAAAAG/2Ppo=")</f>
        <v>#REF!</v>
      </c>
      <c r="EZ56" t="e">
        <f>AND(#REF!,"AAAAAG/2Pps=")</f>
        <v>#REF!</v>
      </c>
      <c r="FA56" t="e">
        <f>AND(#REF!,"AAAAAG/2Ppw=")</f>
        <v>#REF!</v>
      </c>
      <c r="FB56" t="e">
        <f>AND(#REF!,"AAAAAG/2Pp0=")</f>
        <v>#REF!</v>
      </c>
      <c r="FC56" t="e">
        <f>AND(#REF!,"AAAAAG/2Pp4=")</f>
        <v>#REF!</v>
      </c>
      <c r="FD56" t="e">
        <f>AND(#REF!,"AAAAAG/2Pp8=")</f>
        <v>#REF!</v>
      </c>
      <c r="FE56" t="e">
        <f>AND(#REF!,"AAAAAG/2PqA=")</f>
        <v>#REF!</v>
      </c>
      <c r="FF56" t="e">
        <f>AND(#REF!,"AAAAAG/2PqE=")</f>
        <v>#REF!</v>
      </c>
      <c r="FG56" t="e">
        <f>AND(#REF!,"AAAAAG/2PqI=")</f>
        <v>#REF!</v>
      </c>
      <c r="FH56" t="e">
        <f>AND(#REF!,"AAAAAG/2PqM=")</f>
        <v>#REF!</v>
      </c>
      <c r="FI56" t="e">
        <f>AND(#REF!,"AAAAAG/2PqQ=")</f>
        <v>#REF!</v>
      </c>
      <c r="FJ56" t="e">
        <f>AND(#REF!,"AAAAAG/2PqU=")</f>
        <v>#REF!</v>
      </c>
      <c r="FK56" t="e">
        <f>AND(#REF!,"AAAAAG/2PqY=")</f>
        <v>#REF!</v>
      </c>
      <c r="FL56" t="e">
        <f>AND(#REF!,"AAAAAG/2Pqc=")</f>
        <v>#REF!</v>
      </c>
      <c r="FM56" t="e">
        <f>AND(#REF!,"AAAAAG/2Pqg=")</f>
        <v>#REF!</v>
      </c>
      <c r="FN56" t="e">
        <f>IF(#REF!,"AAAAAG/2Pqk=",0)</f>
        <v>#REF!</v>
      </c>
      <c r="FO56" t="e">
        <f>AND(#REF!,"AAAAAG/2Pqo=")</f>
        <v>#REF!</v>
      </c>
      <c r="FP56" t="e">
        <f>AND(#REF!,"AAAAAG/2Pqs=")</f>
        <v>#REF!</v>
      </c>
      <c r="FQ56" t="e">
        <f>AND(#REF!,"AAAAAG/2Pqw=")</f>
        <v>#REF!</v>
      </c>
      <c r="FR56" t="e">
        <f>AND(#REF!,"AAAAAG/2Pq0=")</f>
        <v>#REF!</v>
      </c>
      <c r="FS56" t="e">
        <f>AND(#REF!,"AAAAAG/2Pq4=")</f>
        <v>#REF!</v>
      </c>
      <c r="FT56" t="e">
        <f>AND(#REF!,"AAAAAG/2Pq8=")</f>
        <v>#REF!</v>
      </c>
      <c r="FU56" t="e">
        <f>AND(#REF!,"AAAAAG/2PrA=")</f>
        <v>#REF!</v>
      </c>
      <c r="FV56" t="e">
        <f>AND(#REF!,"AAAAAG/2PrE=")</f>
        <v>#REF!</v>
      </c>
      <c r="FW56" t="e">
        <f>AND(#REF!,"AAAAAG/2PrI=")</f>
        <v>#REF!</v>
      </c>
      <c r="FX56" t="e">
        <f>AND(#REF!,"AAAAAG/2PrM=")</f>
        <v>#REF!</v>
      </c>
      <c r="FY56" t="e">
        <f>AND(#REF!,"AAAAAG/2PrQ=")</f>
        <v>#REF!</v>
      </c>
      <c r="FZ56" t="e">
        <f>AND(#REF!,"AAAAAG/2PrU=")</f>
        <v>#REF!</v>
      </c>
      <c r="GA56" t="e">
        <f>AND(#REF!,"AAAAAG/2PrY=")</f>
        <v>#REF!</v>
      </c>
      <c r="GB56" t="e">
        <f>AND(#REF!,"AAAAAG/2Prc=")</f>
        <v>#REF!</v>
      </c>
      <c r="GC56" t="e">
        <f>AND(#REF!,"AAAAAG/2Prg=")</f>
        <v>#REF!</v>
      </c>
      <c r="GD56" t="e">
        <f>AND(#REF!,"AAAAAG/2Prk=")</f>
        <v>#REF!</v>
      </c>
      <c r="GE56" t="e">
        <f>AND(#REF!,"AAAAAG/2Pro=")</f>
        <v>#REF!</v>
      </c>
      <c r="GF56" t="e">
        <f>AND(#REF!,"AAAAAG/2Prs=")</f>
        <v>#REF!</v>
      </c>
      <c r="GG56" t="e">
        <f>AND(#REF!,"AAAAAG/2Prw=")</f>
        <v>#REF!</v>
      </c>
      <c r="GH56" t="e">
        <f>AND(#REF!,"AAAAAG/2Pr0=")</f>
        <v>#REF!</v>
      </c>
      <c r="GI56" t="e">
        <f>AND(#REF!,"AAAAAG/2Pr4=")</f>
        <v>#REF!</v>
      </c>
      <c r="GJ56" t="e">
        <f>AND(#REF!,"AAAAAG/2Pr8=")</f>
        <v>#REF!</v>
      </c>
      <c r="GK56" t="e">
        <f>AND(#REF!,"AAAAAG/2PsA=")</f>
        <v>#REF!</v>
      </c>
      <c r="GL56" t="e">
        <f>IF(#REF!,"AAAAAG/2PsE=",0)</f>
        <v>#REF!</v>
      </c>
      <c r="GM56" t="e">
        <f>AND(#REF!,"AAAAAG/2PsI=")</f>
        <v>#REF!</v>
      </c>
      <c r="GN56" t="e">
        <f>AND(#REF!,"AAAAAG/2PsM=")</f>
        <v>#REF!</v>
      </c>
      <c r="GO56" t="e">
        <f>AND(#REF!,"AAAAAG/2PsQ=")</f>
        <v>#REF!</v>
      </c>
      <c r="GP56" t="e">
        <f>AND(#REF!,"AAAAAG/2PsU=")</f>
        <v>#REF!</v>
      </c>
      <c r="GQ56" t="e">
        <f>AND(#REF!,"AAAAAG/2PsY=")</f>
        <v>#REF!</v>
      </c>
      <c r="GR56" t="e">
        <f>AND(#REF!,"AAAAAG/2Psc=")</f>
        <v>#REF!</v>
      </c>
      <c r="GS56" t="e">
        <f>AND(#REF!,"AAAAAG/2Psg=")</f>
        <v>#REF!</v>
      </c>
      <c r="GT56" t="e">
        <f>AND(#REF!,"AAAAAG/2Psk=")</f>
        <v>#REF!</v>
      </c>
      <c r="GU56" t="e">
        <f>AND(#REF!,"AAAAAG/2Pso=")</f>
        <v>#REF!</v>
      </c>
      <c r="GV56" t="e">
        <f>AND(#REF!,"AAAAAG/2Pss=")</f>
        <v>#REF!</v>
      </c>
      <c r="GW56" t="e">
        <f>AND(#REF!,"AAAAAG/2Psw=")</f>
        <v>#REF!</v>
      </c>
      <c r="GX56" t="e">
        <f>AND(#REF!,"AAAAAG/2Ps0=")</f>
        <v>#REF!</v>
      </c>
      <c r="GY56" t="e">
        <f>AND(#REF!,"AAAAAG/2Ps4=")</f>
        <v>#REF!</v>
      </c>
      <c r="GZ56" t="e">
        <f>AND(#REF!,"AAAAAG/2Ps8=")</f>
        <v>#REF!</v>
      </c>
      <c r="HA56" t="e">
        <f>AND(#REF!,"AAAAAG/2PtA=")</f>
        <v>#REF!</v>
      </c>
      <c r="HB56" t="e">
        <f>AND(#REF!,"AAAAAG/2PtE=")</f>
        <v>#REF!</v>
      </c>
      <c r="HC56" t="e">
        <f>AND(#REF!,"AAAAAG/2PtI=")</f>
        <v>#REF!</v>
      </c>
      <c r="HD56" t="e">
        <f>AND(#REF!,"AAAAAG/2PtM=")</f>
        <v>#REF!</v>
      </c>
      <c r="HE56" t="e">
        <f>AND(#REF!,"AAAAAG/2PtQ=")</f>
        <v>#REF!</v>
      </c>
      <c r="HF56" t="e">
        <f>AND(#REF!,"AAAAAG/2PtU=")</f>
        <v>#REF!</v>
      </c>
      <c r="HG56" t="e">
        <f>AND(#REF!,"AAAAAG/2PtY=")</f>
        <v>#REF!</v>
      </c>
      <c r="HH56" t="e">
        <f>AND(#REF!,"AAAAAG/2Ptc=")</f>
        <v>#REF!</v>
      </c>
      <c r="HI56" t="e">
        <f>AND(#REF!,"AAAAAG/2Ptg=")</f>
        <v>#REF!</v>
      </c>
      <c r="HJ56" t="e">
        <f>IF(#REF!,"AAAAAG/2Ptk=",0)</f>
        <v>#REF!</v>
      </c>
      <c r="HK56" t="e">
        <f>AND(#REF!,"AAAAAG/2Pto=")</f>
        <v>#REF!</v>
      </c>
      <c r="HL56" t="e">
        <f>AND(#REF!,"AAAAAG/2Pts=")</f>
        <v>#REF!</v>
      </c>
      <c r="HM56" t="e">
        <f>AND(#REF!,"AAAAAG/2Ptw=")</f>
        <v>#REF!</v>
      </c>
      <c r="HN56" t="e">
        <f>AND(#REF!,"AAAAAG/2Pt0=")</f>
        <v>#REF!</v>
      </c>
      <c r="HO56" t="e">
        <f>AND(#REF!,"AAAAAG/2Pt4=")</f>
        <v>#REF!</v>
      </c>
      <c r="HP56" t="e">
        <f>AND(#REF!,"AAAAAG/2Pt8=")</f>
        <v>#REF!</v>
      </c>
      <c r="HQ56" t="e">
        <f>AND(#REF!,"AAAAAG/2PuA=")</f>
        <v>#REF!</v>
      </c>
      <c r="HR56" t="e">
        <f>AND(#REF!,"AAAAAG/2PuE=")</f>
        <v>#REF!</v>
      </c>
      <c r="HS56" t="e">
        <f>AND(#REF!,"AAAAAG/2PuI=")</f>
        <v>#REF!</v>
      </c>
      <c r="HT56" t="e">
        <f>AND(#REF!,"AAAAAG/2PuM=")</f>
        <v>#REF!</v>
      </c>
      <c r="HU56" t="e">
        <f>AND(#REF!,"AAAAAG/2PuQ=")</f>
        <v>#REF!</v>
      </c>
      <c r="HV56" t="e">
        <f>AND(#REF!,"AAAAAG/2PuU=")</f>
        <v>#REF!</v>
      </c>
      <c r="HW56" t="e">
        <f>AND(#REF!,"AAAAAG/2PuY=")</f>
        <v>#REF!</v>
      </c>
      <c r="HX56" t="e">
        <f>AND(#REF!,"AAAAAG/2Puc=")</f>
        <v>#REF!</v>
      </c>
      <c r="HY56" t="e">
        <f>AND(#REF!,"AAAAAG/2Pug=")</f>
        <v>#REF!</v>
      </c>
      <c r="HZ56" t="e">
        <f>AND(#REF!,"AAAAAG/2Puk=")</f>
        <v>#REF!</v>
      </c>
      <c r="IA56" t="e">
        <f>AND(#REF!,"AAAAAG/2Puo=")</f>
        <v>#REF!</v>
      </c>
      <c r="IB56" t="e">
        <f>AND(#REF!,"AAAAAG/2Pus=")</f>
        <v>#REF!</v>
      </c>
      <c r="IC56" t="e">
        <f>AND(#REF!,"AAAAAG/2Puw=")</f>
        <v>#REF!</v>
      </c>
      <c r="ID56" t="e">
        <f>AND(#REF!,"AAAAAG/2Pu0=")</f>
        <v>#REF!</v>
      </c>
      <c r="IE56" t="e">
        <f>AND(#REF!,"AAAAAG/2Pu4=")</f>
        <v>#REF!</v>
      </c>
      <c r="IF56" t="e">
        <f>AND(#REF!,"AAAAAG/2Pu8=")</f>
        <v>#REF!</v>
      </c>
      <c r="IG56" t="e">
        <f>AND(#REF!,"AAAAAG/2PvA=")</f>
        <v>#REF!</v>
      </c>
      <c r="IH56" t="e">
        <f>IF(#REF!,"AAAAAG/2PvE=",0)</f>
        <v>#REF!</v>
      </c>
      <c r="II56" t="e">
        <f>AND(#REF!,"AAAAAG/2PvI=")</f>
        <v>#REF!</v>
      </c>
      <c r="IJ56" t="e">
        <f>AND(#REF!,"AAAAAG/2PvM=")</f>
        <v>#REF!</v>
      </c>
      <c r="IK56" t="e">
        <f>AND(#REF!,"AAAAAG/2PvQ=")</f>
        <v>#REF!</v>
      </c>
      <c r="IL56" t="e">
        <f>AND(#REF!,"AAAAAG/2PvU=")</f>
        <v>#REF!</v>
      </c>
      <c r="IM56" t="e">
        <f>AND(#REF!,"AAAAAG/2PvY=")</f>
        <v>#REF!</v>
      </c>
      <c r="IN56" t="e">
        <f>AND(#REF!,"AAAAAG/2Pvc=")</f>
        <v>#REF!</v>
      </c>
      <c r="IO56" t="e">
        <f>AND(#REF!,"AAAAAG/2Pvg=")</f>
        <v>#REF!</v>
      </c>
      <c r="IP56" t="e">
        <f>AND(#REF!,"AAAAAG/2Pvk=")</f>
        <v>#REF!</v>
      </c>
      <c r="IQ56" t="e">
        <f>AND(#REF!,"AAAAAG/2Pvo=")</f>
        <v>#REF!</v>
      </c>
      <c r="IR56" t="e">
        <f>AND(#REF!,"AAAAAG/2Pvs=")</f>
        <v>#REF!</v>
      </c>
      <c r="IS56" t="e">
        <f>AND(#REF!,"AAAAAG/2Pvw=")</f>
        <v>#REF!</v>
      </c>
      <c r="IT56" t="e">
        <f>AND(#REF!,"AAAAAG/2Pv0=")</f>
        <v>#REF!</v>
      </c>
      <c r="IU56" t="e">
        <f>AND(#REF!,"AAAAAG/2Pv4=")</f>
        <v>#REF!</v>
      </c>
      <c r="IV56" t="e">
        <f>AND(#REF!,"AAAAAG/2Pv8=")</f>
        <v>#REF!</v>
      </c>
    </row>
    <row r="57" spans="1:256" x14ac:dyDescent="0.25">
      <c r="A57" t="e">
        <f>AND(#REF!,"AAAAAGokWgA=")</f>
        <v>#REF!</v>
      </c>
      <c r="B57" t="e">
        <f>AND(#REF!,"AAAAAGokWgE=")</f>
        <v>#REF!</v>
      </c>
      <c r="C57" t="e">
        <f>AND(#REF!,"AAAAAGokWgI=")</f>
        <v>#REF!</v>
      </c>
      <c r="D57" t="e">
        <f>AND(#REF!,"AAAAAGokWgM=")</f>
        <v>#REF!</v>
      </c>
      <c r="E57" t="e">
        <f>AND(#REF!,"AAAAAGokWgQ=")</f>
        <v>#REF!</v>
      </c>
      <c r="F57" t="e">
        <f>AND(#REF!,"AAAAAGokWgU=")</f>
        <v>#REF!</v>
      </c>
      <c r="G57" t="e">
        <f>AND(#REF!,"AAAAAGokWgY=")</f>
        <v>#REF!</v>
      </c>
      <c r="H57" t="e">
        <f>AND(#REF!,"AAAAAGokWgc=")</f>
        <v>#REF!</v>
      </c>
      <c r="I57" t="e">
        <f>AND(#REF!,"AAAAAGokWgg=")</f>
        <v>#REF!</v>
      </c>
      <c r="J57" t="e">
        <f>IF(#REF!,"AAAAAGokWgk=",0)</f>
        <v>#REF!</v>
      </c>
      <c r="K57" t="e">
        <f>AND(#REF!,"AAAAAGokWgo=")</f>
        <v>#REF!</v>
      </c>
      <c r="L57" t="e">
        <f>AND(#REF!,"AAAAAGokWgs=")</f>
        <v>#REF!</v>
      </c>
      <c r="M57" t="e">
        <f>AND(#REF!,"AAAAAGokWgw=")</f>
        <v>#REF!</v>
      </c>
      <c r="N57" t="e">
        <f>AND(#REF!,"AAAAAGokWg0=")</f>
        <v>#REF!</v>
      </c>
      <c r="O57" t="e">
        <f>AND(#REF!,"AAAAAGokWg4=")</f>
        <v>#REF!</v>
      </c>
      <c r="P57" t="e">
        <f>AND(#REF!,"AAAAAGokWg8=")</f>
        <v>#REF!</v>
      </c>
      <c r="Q57" t="e">
        <f>AND(#REF!,"AAAAAGokWhA=")</f>
        <v>#REF!</v>
      </c>
      <c r="R57" t="e">
        <f>AND(#REF!,"AAAAAGokWhE=")</f>
        <v>#REF!</v>
      </c>
      <c r="S57" t="e">
        <f>AND(#REF!,"AAAAAGokWhI=")</f>
        <v>#REF!</v>
      </c>
      <c r="T57" t="e">
        <f>AND(#REF!,"AAAAAGokWhM=")</f>
        <v>#REF!</v>
      </c>
      <c r="U57" t="e">
        <f>AND(#REF!,"AAAAAGokWhQ=")</f>
        <v>#REF!</v>
      </c>
      <c r="V57" t="e">
        <f>AND(#REF!,"AAAAAGokWhU=")</f>
        <v>#REF!</v>
      </c>
      <c r="W57" t="e">
        <f>AND(#REF!,"AAAAAGokWhY=")</f>
        <v>#REF!</v>
      </c>
      <c r="X57" t="e">
        <f>AND(#REF!,"AAAAAGokWhc=")</f>
        <v>#REF!</v>
      </c>
      <c r="Y57" t="e">
        <f>AND(#REF!,"AAAAAGokWhg=")</f>
        <v>#REF!</v>
      </c>
      <c r="Z57" t="e">
        <f>AND(#REF!,"AAAAAGokWhk=")</f>
        <v>#REF!</v>
      </c>
      <c r="AA57" t="e">
        <f>AND(#REF!,"AAAAAGokWho=")</f>
        <v>#REF!</v>
      </c>
      <c r="AB57" t="e">
        <f>AND(#REF!,"AAAAAGokWhs=")</f>
        <v>#REF!</v>
      </c>
      <c r="AC57" t="e">
        <f>AND(#REF!,"AAAAAGokWhw=")</f>
        <v>#REF!</v>
      </c>
      <c r="AD57" t="e">
        <f>AND(#REF!,"AAAAAGokWh0=")</f>
        <v>#REF!</v>
      </c>
      <c r="AE57" t="e">
        <f>AND(#REF!,"AAAAAGokWh4=")</f>
        <v>#REF!</v>
      </c>
      <c r="AF57" t="e">
        <f>AND(#REF!,"AAAAAGokWh8=")</f>
        <v>#REF!</v>
      </c>
      <c r="AG57" t="e">
        <f>AND(#REF!,"AAAAAGokWiA=")</f>
        <v>#REF!</v>
      </c>
      <c r="AH57" t="e">
        <f>IF(#REF!,"AAAAAGokWiE=",0)</f>
        <v>#REF!</v>
      </c>
      <c r="AI57" t="e">
        <f>AND(#REF!,"AAAAAGokWiI=")</f>
        <v>#REF!</v>
      </c>
      <c r="AJ57" t="e">
        <f>AND(#REF!,"AAAAAGokWiM=")</f>
        <v>#REF!</v>
      </c>
      <c r="AK57" t="e">
        <f>AND(#REF!,"AAAAAGokWiQ=")</f>
        <v>#REF!</v>
      </c>
      <c r="AL57" t="e">
        <f>AND(#REF!,"AAAAAGokWiU=")</f>
        <v>#REF!</v>
      </c>
      <c r="AM57" t="e">
        <f>AND(#REF!,"AAAAAGokWiY=")</f>
        <v>#REF!</v>
      </c>
      <c r="AN57" t="e">
        <f>AND(#REF!,"AAAAAGokWic=")</f>
        <v>#REF!</v>
      </c>
      <c r="AO57" t="e">
        <f>AND(#REF!,"AAAAAGokWig=")</f>
        <v>#REF!</v>
      </c>
      <c r="AP57" t="e">
        <f>AND(#REF!,"AAAAAGokWik=")</f>
        <v>#REF!</v>
      </c>
      <c r="AQ57" t="e">
        <f>AND(#REF!,"AAAAAGokWio=")</f>
        <v>#REF!</v>
      </c>
      <c r="AR57" t="e">
        <f>AND(#REF!,"AAAAAGokWis=")</f>
        <v>#REF!</v>
      </c>
      <c r="AS57" t="e">
        <f>AND(#REF!,"AAAAAGokWiw=")</f>
        <v>#REF!</v>
      </c>
      <c r="AT57" t="e">
        <f>AND(#REF!,"AAAAAGokWi0=")</f>
        <v>#REF!</v>
      </c>
      <c r="AU57" t="e">
        <f>AND(#REF!,"AAAAAGokWi4=")</f>
        <v>#REF!</v>
      </c>
      <c r="AV57" t="e">
        <f>AND(#REF!,"AAAAAGokWi8=")</f>
        <v>#REF!</v>
      </c>
      <c r="AW57" t="e">
        <f>AND(#REF!,"AAAAAGokWjA=")</f>
        <v>#REF!</v>
      </c>
      <c r="AX57" t="e">
        <f>AND(#REF!,"AAAAAGokWjE=")</f>
        <v>#REF!</v>
      </c>
      <c r="AY57" t="e">
        <f>AND(#REF!,"AAAAAGokWjI=")</f>
        <v>#REF!</v>
      </c>
      <c r="AZ57" t="e">
        <f>AND(#REF!,"AAAAAGokWjM=")</f>
        <v>#REF!</v>
      </c>
      <c r="BA57" t="e">
        <f>AND(#REF!,"AAAAAGokWjQ=")</f>
        <v>#REF!</v>
      </c>
      <c r="BB57" t="e">
        <f>AND(#REF!,"AAAAAGokWjU=")</f>
        <v>#REF!</v>
      </c>
      <c r="BC57" t="e">
        <f>AND(#REF!,"AAAAAGokWjY=")</f>
        <v>#REF!</v>
      </c>
      <c r="BD57" t="e">
        <f>AND(#REF!,"AAAAAGokWjc=")</f>
        <v>#REF!</v>
      </c>
      <c r="BE57" t="e">
        <f>AND(#REF!,"AAAAAGokWjg=")</f>
        <v>#REF!</v>
      </c>
      <c r="BF57" t="e">
        <f>IF(#REF!,"AAAAAGokWjk=",0)</f>
        <v>#REF!</v>
      </c>
      <c r="BG57" t="e">
        <f>AND(#REF!,"AAAAAGokWjo=")</f>
        <v>#REF!</v>
      </c>
      <c r="BH57" t="e">
        <f>AND(#REF!,"AAAAAGokWjs=")</f>
        <v>#REF!</v>
      </c>
      <c r="BI57" t="e">
        <f>AND(#REF!,"AAAAAGokWjw=")</f>
        <v>#REF!</v>
      </c>
      <c r="BJ57" t="e">
        <f>AND(#REF!,"AAAAAGokWj0=")</f>
        <v>#REF!</v>
      </c>
      <c r="BK57" t="e">
        <f>AND(#REF!,"AAAAAGokWj4=")</f>
        <v>#REF!</v>
      </c>
      <c r="BL57" t="e">
        <f>AND(#REF!,"AAAAAGokWj8=")</f>
        <v>#REF!</v>
      </c>
      <c r="BM57" t="e">
        <f>AND(#REF!,"AAAAAGokWkA=")</f>
        <v>#REF!</v>
      </c>
      <c r="BN57" t="e">
        <f>AND(#REF!,"AAAAAGokWkE=")</f>
        <v>#REF!</v>
      </c>
      <c r="BO57" t="e">
        <f>AND(#REF!,"AAAAAGokWkI=")</f>
        <v>#REF!</v>
      </c>
      <c r="BP57" t="e">
        <f>AND(#REF!,"AAAAAGokWkM=")</f>
        <v>#REF!</v>
      </c>
      <c r="BQ57" t="e">
        <f>AND(#REF!,"AAAAAGokWkQ=")</f>
        <v>#REF!</v>
      </c>
      <c r="BR57" t="e">
        <f>AND(#REF!,"AAAAAGokWkU=")</f>
        <v>#REF!</v>
      </c>
      <c r="BS57" t="e">
        <f>AND(#REF!,"AAAAAGokWkY=")</f>
        <v>#REF!</v>
      </c>
      <c r="BT57" t="e">
        <f>AND(#REF!,"AAAAAGokWkc=")</f>
        <v>#REF!</v>
      </c>
      <c r="BU57" t="e">
        <f>AND(#REF!,"AAAAAGokWkg=")</f>
        <v>#REF!</v>
      </c>
      <c r="BV57" t="e">
        <f>AND(#REF!,"AAAAAGokWkk=")</f>
        <v>#REF!</v>
      </c>
      <c r="BW57" t="e">
        <f>AND(#REF!,"AAAAAGokWko=")</f>
        <v>#REF!</v>
      </c>
      <c r="BX57" t="e">
        <f>AND(#REF!,"AAAAAGokWks=")</f>
        <v>#REF!</v>
      </c>
      <c r="BY57" t="e">
        <f>AND(#REF!,"AAAAAGokWkw=")</f>
        <v>#REF!</v>
      </c>
      <c r="BZ57" t="e">
        <f>AND(#REF!,"AAAAAGokWk0=")</f>
        <v>#REF!</v>
      </c>
      <c r="CA57" t="e">
        <f>AND(#REF!,"AAAAAGokWk4=")</f>
        <v>#REF!</v>
      </c>
      <c r="CB57" t="e">
        <f>AND(#REF!,"AAAAAGokWk8=")</f>
        <v>#REF!</v>
      </c>
      <c r="CC57" t="e">
        <f>AND(#REF!,"AAAAAGokWlA=")</f>
        <v>#REF!</v>
      </c>
      <c r="CD57" t="e">
        <f>IF(#REF!,"AAAAAGokWlE=",0)</f>
        <v>#REF!</v>
      </c>
      <c r="CE57" t="e">
        <f>AND(#REF!,"AAAAAGokWlI=")</f>
        <v>#REF!</v>
      </c>
      <c r="CF57" t="e">
        <f>AND(#REF!,"AAAAAGokWlM=")</f>
        <v>#REF!</v>
      </c>
      <c r="CG57" t="e">
        <f>AND(#REF!,"AAAAAGokWlQ=")</f>
        <v>#REF!</v>
      </c>
      <c r="CH57" t="e">
        <f>AND(#REF!,"AAAAAGokWlU=")</f>
        <v>#REF!</v>
      </c>
      <c r="CI57" t="e">
        <f>AND(#REF!,"AAAAAGokWlY=")</f>
        <v>#REF!</v>
      </c>
      <c r="CJ57" t="e">
        <f>AND(#REF!,"AAAAAGokWlc=")</f>
        <v>#REF!</v>
      </c>
      <c r="CK57" t="e">
        <f>AND(#REF!,"AAAAAGokWlg=")</f>
        <v>#REF!</v>
      </c>
      <c r="CL57" t="e">
        <f>AND(#REF!,"AAAAAGokWlk=")</f>
        <v>#REF!</v>
      </c>
      <c r="CM57" t="e">
        <f>AND(#REF!,"AAAAAGokWlo=")</f>
        <v>#REF!</v>
      </c>
      <c r="CN57" t="e">
        <f>AND(#REF!,"AAAAAGokWls=")</f>
        <v>#REF!</v>
      </c>
      <c r="CO57" t="e">
        <f>AND(#REF!,"AAAAAGokWlw=")</f>
        <v>#REF!</v>
      </c>
      <c r="CP57" t="e">
        <f>AND(#REF!,"AAAAAGokWl0=")</f>
        <v>#REF!</v>
      </c>
      <c r="CQ57" t="e">
        <f>AND(#REF!,"AAAAAGokWl4=")</f>
        <v>#REF!</v>
      </c>
      <c r="CR57" t="e">
        <f>AND(#REF!,"AAAAAGokWl8=")</f>
        <v>#REF!</v>
      </c>
      <c r="CS57" t="e">
        <f>AND(#REF!,"AAAAAGokWmA=")</f>
        <v>#REF!</v>
      </c>
      <c r="CT57" t="e">
        <f>AND(#REF!,"AAAAAGokWmE=")</f>
        <v>#REF!</v>
      </c>
      <c r="CU57" t="e">
        <f>AND(#REF!,"AAAAAGokWmI=")</f>
        <v>#REF!</v>
      </c>
      <c r="CV57" t="e">
        <f>AND(#REF!,"AAAAAGokWmM=")</f>
        <v>#REF!</v>
      </c>
      <c r="CW57" t="e">
        <f>AND(#REF!,"AAAAAGokWmQ=")</f>
        <v>#REF!</v>
      </c>
      <c r="CX57" t="e">
        <f>AND(#REF!,"AAAAAGokWmU=")</f>
        <v>#REF!</v>
      </c>
      <c r="CY57" t="e">
        <f>AND(#REF!,"AAAAAGokWmY=")</f>
        <v>#REF!</v>
      </c>
      <c r="CZ57" t="e">
        <f>AND(#REF!,"AAAAAGokWmc=")</f>
        <v>#REF!</v>
      </c>
      <c r="DA57" t="e">
        <f>AND(#REF!,"AAAAAGokWmg=")</f>
        <v>#REF!</v>
      </c>
      <c r="DB57" t="e">
        <f>IF(#REF!,"AAAAAGokWmk=",0)</f>
        <v>#REF!</v>
      </c>
      <c r="DC57" t="e">
        <f>AND(#REF!,"AAAAAGokWmo=")</f>
        <v>#REF!</v>
      </c>
      <c r="DD57" t="e">
        <f>AND(#REF!,"AAAAAGokWms=")</f>
        <v>#REF!</v>
      </c>
      <c r="DE57" t="e">
        <f>AND(#REF!,"AAAAAGokWmw=")</f>
        <v>#REF!</v>
      </c>
      <c r="DF57" t="e">
        <f>AND(#REF!,"AAAAAGokWm0=")</f>
        <v>#REF!</v>
      </c>
      <c r="DG57" t="e">
        <f>AND(#REF!,"AAAAAGokWm4=")</f>
        <v>#REF!</v>
      </c>
      <c r="DH57" t="e">
        <f>AND(#REF!,"AAAAAGokWm8=")</f>
        <v>#REF!</v>
      </c>
      <c r="DI57" t="e">
        <f>AND(#REF!,"AAAAAGokWnA=")</f>
        <v>#REF!</v>
      </c>
      <c r="DJ57" t="e">
        <f>AND(#REF!,"AAAAAGokWnE=")</f>
        <v>#REF!</v>
      </c>
      <c r="DK57" t="e">
        <f>AND(#REF!,"AAAAAGokWnI=")</f>
        <v>#REF!</v>
      </c>
      <c r="DL57" t="e">
        <f>AND(#REF!,"AAAAAGokWnM=")</f>
        <v>#REF!</v>
      </c>
      <c r="DM57" t="e">
        <f>AND(#REF!,"AAAAAGokWnQ=")</f>
        <v>#REF!</v>
      </c>
      <c r="DN57" t="e">
        <f>AND(#REF!,"AAAAAGokWnU=")</f>
        <v>#REF!</v>
      </c>
      <c r="DO57" t="e">
        <f>AND(#REF!,"AAAAAGokWnY=")</f>
        <v>#REF!</v>
      </c>
      <c r="DP57" t="e">
        <f>AND(#REF!,"AAAAAGokWnc=")</f>
        <v>#REF!</v>
      </c>
      <c r="DQ57" t="e">
        <f>AND(#REF!,"AAAAAGokWng=")</f>
        <v>#REF!</v>
      </c>
      <c r="DR57" t="e">
        <f>AND(#REF!,"AAAAAGokWnk=")</f>
        <v>#REF!</v>
      </c>
      <c r="DS57" t="e">
        <f>AND(#REF!,"AAAAAGokWno=")</f>
        <v>#REF!</v>
      </c>
      <c r="DT57" t="e">
        <f>AND(#REF!,"AAAAAGokWns=")</f>
        <v>#REF!</v>
      </c>
      <c r="DU57" t="e">
        <f>AND(#REF!,"AAAAAGokWnw=")</f>
        <v>#REF!</v>
      </c>
      <c r="DV57" t="e">
        <f>AND(#REF!,"AAAAAGokWn0=")</f>
        <v>#REF!</v>
      </c>
      <c r="DW57" t="e">
        <f>AND(#REF!,"AAAAAGokWn4=")</f>
        <v>#REF!</v>
      </c>
      <c r="DX57" t="e">
        <f>AND(#REF!,"AAAAAGokWn8=")</f>
        <v>#REF!</v>
      </c>
      <c r="DY57" t="e">
        <f>AND(#REF!,"AAAAAGokWoA=")</f>
        <v>#REF!</v>
      </c>
      <c r="DZ57" t="e">
        <f>IF(#REF!,"AAAAAGokWoE=",0)</f>
        <v>#REF!</v>
      </c>
      <c r="EA57" t="e">
        <f>AND(#REF!,"AAAAAGokWoI=")</f>
        <v>#REF!</v>
      </c>
      <c r="EB57" t="e">
        <f>AND(#REF!,"AAAAAGokWoM=")</f>
        <v>#REF!</v>
      </c>
      <c r="EC57" t="e">
        <f>AND(#REF!,"AAAAAGokWoQ=")</f>
        <v>#REF!</v>
      </c>
      <c r="ED57" t="e">
        <f>AND(#REF!,"AAAAAGokWoU=")</f>
        <v>#REF!</v>
      </c>
      <c r="EE57" t="e">
        <f>AND(#REF!,"AAAAAGokWoY=")</f>
        <v>#REF!</v>
      </c>
      <c r="EF57" t="e">
        <f>AND(#REF!,"AAAAAGokWoc=")</f>
        <v>#REF!</v>
      </c>
      <c r="EG57" t="e">
        <f>AND(#REF!,"AAAAAGokWog=")</f>
        <v>#REF!</v>
      </c>
      <c r="EH57" t="e">
        <f>AND(#REF!,"AAAAAGokWok=")</f>
        <v>#REF!</v>
      </c>
      <c r="EI57" t="e">
        <f>AND(#REF!,"AAAAAGokWoo=")</f>
        <v>#REF!</v>
      </c>
      <c r="EJ57" t="e">
        <f>AND(#REF!,"AAAAAGokWos=")</f>
        <v>#REF!</v>
      </c>
      <c r="EK57" t="e">
        <f>AND(#REF!,"AAAAAGokWow=")</f>
        <v>#REF!</v>
      </c>
      <c r="EL57" t="e">
        <f>AND(#REF!,"AAAAAGokWo0=")</f>
        <v>#REF!</v>
      </c>
      <c r="EM57" t="e">
        <f>AND(#REF!,"AAAAAGokWo4=")</f>
        <v>#REF!</v>
      </c>
      <c r="EN57" t="e">
        <f>AND(#REF!,"AAAAAGokWo8=")</f>
        <v>#REF!</v>
      </c>
      <c r="EO57" t="e">
        <f>AND(#REF!,"AAAAAGokWpA=")</f>
        <v>#REF!</v>
      </c>
      <c r="EP57" t="e">
        <f>AND(#REF!,"AAAAAGokWpE=")</f>
        <v>#REF!</v>
      </c>
      <c r="EQ57" t="e">
        <f>AND(#REF!,"AAAAAGokWpI=")</f>
        <v>#REF!</v>
      </c>
      <c r="ER57" t="e">
        <f>AND(#REF!,"AAAAAGokWpM=")</f>
        <v>#REF!</v>
      </c>
      <c r="ES57" t="e">
        <f>AND(#REF!,"AAAAAGokWpQ=")</f>
        <v>#REF!</v>
      </c>
      <c r="ET57" t="e">
        <f>AND(#REF!,"AAAAAGokWpU=")</f>
        <v>#REF!</v>
      </c>
      <c r="EU57" t="e">
        <f>AND(#REF!,"AAAAAGokWpY=")</f>
        <v>#REF!</v>
      </c>
      <c r="EV57" t="e">
        <f>AND(#REF!,"AAAAAGokWpc=")</f>
        <v>#REF!</v>
      </c>
      <c r="EW57" t="e">
        <f>AND(#REF!,"AAAAAGokWpg=")</f>
        <v>#REF!</v>
      </c>
      <c r="EX57" t="e">
        <f>IF(#REF!,"AAAAAGokWpk=",0)</f>
        <v>#REF!</v>
      </c>
      <c r="EY57" t="e">
        <f>AND(#REF!,"AAAAAGokWpo=")</f>
        <v>#REF!</v>
      </c>
      <c r="EZ57" t="e">
        <f>AND(#REF!,"AAAAAGokWps=")</f>
        <v>#REF!</v>
      </c>
      <c r="FA57" t="e">
        <f>AND(#REF!,"AAAAAGokWpw=")</f>
        <v>#REF!</v>
      </c>
      <c r="FB57" t="e">
        <f>AND(#REF!,"AAAAAGokWp0=")</f>
        <v>#REF!</v>
      </c>
      <c r="FC57" t="e">
        <f>AND(#REF!,"AAAAAGokWp4=")</f>
        <v>#REF!</v>
      </c>
      <c r="FD57" t="e">
        <f>AND(#REF!,"AAAAAGokWp8=")</f>
        <v>#REF!</v>
      </c>
      <c r="FE57" t="e">
        <f>AND(#REF!,"AAAAAGokWqA=")</f>
        <v>#REF!</v>
      </c>
      <c r="FF57" t="e">
        <f>AND(#REF!,"AAAAAGokWqE=")</f>
        <v>#REF!</v>
      </c>
      <c r="FG57" t="e">
        <f>AND(#REF!,"AAAAAGokWqI=")</f>
        <v>#REF!</v>
      </c>
      <c r="FH57" t="e">
        <f>AND(#REF!,"AAAAAGokWqM=")</f>
        <v>#REF!</v>
      </c>
      <c r="FI57" t="e">
        <f>AND(#REF!,"AAAAAGokWqQ=")</f>
        <v>#REF!</v>
      </c>
      <c r="FJ57" t="e">
        <f>AND(#REF!,"AAAAAGokWqU=")</f>
        <v>#REF!</v>
      </c>
      <c r="FK57" t="e">
        <f>AND(#REF!,"AAAAAGokWqY=")</f>
        <v>#REF!</v>
      </c>
      <c r="FL57" t="e">
        <f>AND(#REF!,"AAAAAGokWqc=")</f>
        <v>#REF!</v>
      </c>
      <c r="FM57" t="e">
        <f>AND(#REF!,"AAAAAGokWqg=")</f>
        <v>#REF!</v>
      </c>
      <c r="FN57" t="e">
        <f>AND(#REF!,"AAAAAGokWqk=")</f>
        <v>#REF!</v>
      </c>
      <c r="FO57" t="e">
        <f>AND(#REF!,"AAAAAGokWqo=")</f>
        <v>#REF!</v>
      </c>
      <c r="FP57" t="e">
        <f>AND(#REF!,"AAAAAGokWqs=")</f>
        <v>#REF!</v>
      </c>
      <c r="FQ57" t="e">
        <f>AND(#REF!,"AAAAAGokWqw=")</f>
        <v>#REF!</v>
      </c>
      <c r="FR57" t="e">
        <f>AND(#REF!,"AAAAAGokWq0=")</f>
        <v>#REF!</v>
      </c>
      <c r="FS57" t="e">
        <f>AND(#REF!,"AAAAAGokWq4=")</f>
        <v>#REF!</v>
      </c>
      <c r="FT57" t="e">
        <f>AND(#REF!,"AAAAAGokWq8=")</f>
        <v>#REF!</v>
      </c>
      <c r="FU57" t="e">
        <f>AND(#REF!,"AAAAAGokWrA=")</f>
        <v>#REF!</v>
      </c>
      <c r="FV57" t="e">
        <f>IF(#REF!,"AAAAAGokWrE=",0)</f>
        <v>#REF!</v>
      </c>
      <c r="FW57" t="e">
        <f>AND(#REF!,"AAAAAGokWrI=")</f>
        <v>#REF!</v>
      </c>
      <c r="FX57" t="e">
        <f>AND(#REF!,"AAAAAGokWrM=")</f>
        <v>#REF!</v>
      </c>
      <c r="FY57" t="e">
        <f>AND(#REF!,"AAAAAGokWrQ=")</f>
        <v>#REF!</v>
      </c>
      <c r="FZ57" t="e">
        <f>AND(#REF!,"AAAAAGokWrU=")</f>
        <v>#REF!</v>
      </c>
      <c r="GA57" t="e">
        <f>AND(#REF!,"AAAAAGokWrY=")</f>
        <v>#REF!</v>
      </c>
      <c r="GB57" t="e">
        <f>AND(#REF!,"AAAAAGokWrc=")</f>
        <v>#REF!</v>
      </c>
      <c r="GC57" t="e">
        <f>AND(#REF!,"AAAAAGokWrg=")</f>
        <v>#REF!</v>
      </c>
      <c r="GD57" t="e">
        <f>AND(#REF!,"AAAAAGokWrk=")</f>
        <v>#REF!</v>
      </c>
      <c r="GE57" t="e">
        <f>AND(#REF!,"AAAAAGokWro=")</f>
        <v>#REF!</v>
      </c>
      <c r="GF57" t="e">
        <f>AND(#REF!,"AAAAAGokWrs=")</f>
        <v>#REF!</v>
      </c>
      <c r="GG57" t="e">
        <f>AND(#REF!,"AAAAAGokWrw=")</f>
        <v>#REF!</v>
      </c>
      <c r="GH57" t="e">
        <f>AND(#REF!,"AAAAAGokWr0=")</f>
        <v>#REF!</v>
      </c>
      <c r="GI57" t="e">
        <f>AND(#REF!,"AAAAAGokWr4=")</f>
        <v>#REF!</v>
      </c>
      <c r="GJ57" t="e">
        <f>AND(#REF!,"AAAAAGokWr8=")</f>
        <v>#REF!</v>
      </c>
      <c r="GK57" t="e">
        <f>AND(#REF!,"AAAAAGokWsA=")</f>
        <v>#REF!</v>
      </c>
      <c r="GL57" t="e">
        <f>AND(#REF!,"AAAAAGokWsE=")</f>
        <v>#REF!</v>
      </c>
      <c r="GM57" t="e">
        <f>AND(#REF!,"AAAAAGokWsI=")</f>
        <v>#REF!</v>
      </c>
      <c r="GN57" t="e">
        <f>AND(#REF!,"AAAAAGokWsM=")</f>
        <v>#REF!</v>
      </c>
      <c r="GO57" t="e">
        <f>AND(#REF!,"AAAAAGokWsQ=")</f>
        <v>#REF!</v>
      </c>
      <c r="GP57" t="e">
        <f>AND(#REF!,"AAAAAGokWsU=")</f>
        <v>#REF!</v>
      </c>
      <c r="GQ57" t="e">
        <f>AND(#REF!,"AAAAAGokWsY=")</f>
        <v>#REF!</v>
      </c>
      <c r="GR57" t="e">
        <f>AND(#REF!,"AAAAAGokWsc=")</f>
        <v>#REF!</v>
      </c>
      <c r="GS57" t="e">
        <f>AND(#REF!,"AAAAAGokWsg=")</f>
        <v>#REF!</v>
      </c>
      <c r="GT57" t="e">
        <f>IF(#REF!,"AAAAAGokWsk=",0)</f>
        <v>#REF!</v>
      </c>
      <c r="GU57" t="e">
        <f>AND(#REF!,"AAAAAGokWso=")</f>
        <v>#REF!</v>
      </c>
      <c r="GV57" t="e">
        <f>AND(#REF!,"AAAAAGokWss=")</f>
        <v>#REF!</v>
      </c>
      <c r="GW57" t="e">
        <f>AND(#REF!,"AAAAAGokWsw=")</f>
        <v>#REF!</v>
      </c>
      <c r="GX57" t="e">
        <f>AND(#REF!,"AAAAAGokWs0=")</f>
        <v>#REF!</v>
      </c>
      <c r="GY57" t="e">
        <f>AND(#REF!,"AAAAAGokWs4=")</f>
        <v>#REF!</v>
      </c>
      <c r="GZ57" t="e">
        <f>AND(#REF!,"AAAAAGokWs8=")</f>
        <v>#REF!</v>
      </c>
      <c r="HA57" t="e">
        <f>AND(#REF!,"AAAAAGokWtA=")</f>
        <v>#REF!</v>
      </c>
      <c r="HB57" t="e">
        <f>AND(#REF!,"AAAAAGokWtE=")</f>
        <v>#REF!</v>
      </c>
      <c r="HC57" t="e">
        <f>AND(#REF!,"AAAAAGokWtI=")</f>
        <v>#REF!</v>
      </c>
      <c r="HD57" t="e">
        <f>AND(#REF!,"AAAAAGokWtM=")</f>
        <v>#REF!</v>
      </c>
      <c r="HE57" t="e">
        <f>AND(#REF!,"AAAAAGokWtQ=")</f>
        <v>#REF!</v>
      </c>
      <c r="HF57" t="e">
        <f>AND(#REF!,"AAAAAGokWtU=")</f>
        <v>#REF!</v>
      </c>
      <c r="HG57" t="e">
        <f>AND(#REF!,"AAAAAGokWtY=")</f>
        <v>#REF!</v>
      </c>
      <c r="HH57" t="e">
        <f>AND(#REF!,"AAAAAGokWtc=")</f>
        <v>#REF!</v>
      </c>
      <c r="HI57" t="e">
        <f>AND(#REF!,"AAAAAGokWtg=")</f>
        <v>#REF!</v>
      </c>
      <c r="HJ57" t="e">
        <f>AND(#REF!,"AAAAAGokWtk=")</f>
        <v>#REF!</v>
      </c>
      <c r="HK57" t="e">
        <f>AND(#REF!,"AAAAAGokWto=")</f>
        <v>#REF!</v>
      </c>
      <c r="HL57" t="e">
        <f>AND(#REF!,"AAAAAGokWts=")</f>
        <v>#REF!</v>
      </c>
      <c r="HM57" t="e">
        <f>AND(#REF!,"AAAAAGokWtw=")</f>
        <v>#REF!</v>
      </c>
      <c r="HN57" t="e">
        <f>AND(#REF!,"AAAAAGokWt0=")</f>
        <v>#REF!</v>
      </c>
      <c r="HO57" t="e">
        <f>AND(#REF!,"AAAAAGokWt4=")</f>
        <v>#REF!</v>
      </c>
      <c r="HP57" t="e">
        <f>AND(#REF!,"AAAAAGokWt8=")</f>
        <v>#REF!</v>
      </c>
      <c r="HQ57" t="e">
        <f>AND(#REF!,"AAAAAGokWuA=")</f>
        <v>#REF!</v>
      </c>
      <c r="HR57" t="e">
        <f>IF(#REF!,"AAAAAGokWuE=",0)</f>
        <v>#REF!</v>
      </c>
      <c r="HS57" t="e">
        <f>AND(#REF!,"AAAAAGokWuI=")</f>
        <v>#REF!</v>
      </c>
      <c r="HT57" t="e">
        <f>AND(#REF!,"AAAAAGokWuM=")</f>
        <v>#REF!</v>
      </c>
      <c r="HU57" t="e">
        <f>AND(#REF!,"AAAAAGokWuQ=")</f>
        <v>#REF!</v>
      </c>
      <c r="HV57" t="e">
        <f>AND(#REF!,"AAAAAGokWuU=")</f>
        <v>#REF!</v>
      </c>
      <c r="HW57" t="e">
        <f>AND(#REF!,"AAAAAGokWuY=")</f>
        <v>#REF!</v>
      </c>
      <c r="HX57" t="e">
        <f>AND(#REF!,"AAAAAGokWuc=")</f>
        <v>#REF!</v>
      </c>
      <c r="HY57" t="e">
        <f>AND(#REF!,"AAAAAGokWug=")</f>
        <v>#REF!</v>
      </c>
      <c r="HZ57" t="e">
        <f>AND(#REF!,"AAAAAGokWuk=")</f>
        <v>#REF!</v>
      </c>
      <c r="IA57" t="e">
        <f>AND(#REF!,"AAAAAGokWuo=")</f>
        <v>#REF!</v>
      </c>
      <c r="IB57" t="e">
        <f>AND(#REF!,"AAAAAGokWus=")</f>
        <v>#REF!</v>
      </c>
      <c r="IC57" t="e">
        <f>AND(#REF!,"AAAAAGokWuw=")</f>
        <v>#REF!</v>
      </c>
      <c r="ID57" t="e">
        <f>AND(#REF!,"AAAAAGokWu0=")</f>
        <v>#REF!</v>
      </c>
      <c r="IE57" t="e">
        <f>AND(#REF!,"AAAAAGokWu4=")</f>
        <v>#REF!</v>
      </c>
      <c r="IF57" t="e">
        <f>AND(#REF!,"AAAAAGokWu8=")</f>
        <v>#REF!</v>
      </c>
      <c r="IG57" t="e">
        <f>AND(#REF!,"AAAAAGokWvA=")</f>
        <v>#REF!</v>
      </c>
      <c r="IH57" t="e">
        <f>AND(#REF!,"AAAAAGokWvE=")</f>
        <v>#REF!</v>
      </c>
      <c r="II57" t="e">
        <f>AND(#REF!,"AAAAAGokWvI=")</f>
        <v>#REF!</v>
      </c>
      <c r="IJ57" t="e">
        <f>AND(#REF!,"AAAAAGokWvM=")</f>
        <v>#REF!</v>
      </c>
      <c r="IK57" t="e">
        <f>AND(#REF!,"AAAAAGokWvQ=")</f>
        <v>#REF!</v>
      </c>
      <c r="IL57" t="e">
        <f>AND(#REF!,"AAAAAGokWvU=")</f>
        <v>#REF!</v>
      </c>
      <c r="IM57" t="e">
        <f>AND(#REF!,"AAAAAGokWvY=")</f>
        <v>#REF!</v>
      </c>
      <c r="IN57" t="e">
        <f>AND(#REF!,"AAAAAGokWvc=")</f>
        <v>#REF!</v>
      </c>
      <c r="IO57" t="e">
        <f>AND(#REF!,"AAAAAGokWvg=")</f>
        <v>#REF!</v>
      </c>
      <c r="IP57" t="e">
        <f>IF(#REF!,"AAAAAGokWvk=",0)</f>
        <v>#REF!</v>
      </c>
      <c r="IQ57" t="e">
        <f>AND(#REF!,"AAAAAGokWvo=")</f>
        <v>#REF!</v>
      </c>
      <c r="IR57" t="e">
        <f>AND(#REF!,"AAAAAGokWvs=")</f>
        <v>#REF!</v>
      </c>
      <c r="IS57" t="e">
        <f>AND(#REF!,"AAAAAGokWvw=")</f>
        <v>#REF!</v>
      </c>
      <c r="IT57" t="e">
        <f>AND(#REF!,"AAAAAGokWv0=")</f>
        <v>#REF!</v>
      </c>
      <c r="IU57" t="e">
        <f>AND(#REF!,"AAAAAGokWv4=")</f>
        <v>#REF!</v>
      </c>
      <c r="IV57" t="e">
        <f>AND(#REF!,"AAAAAGokWv8=")</f>
        <v>#REF!</v>
      </c>
    </row>
    <row r="58" spans="1:256" x14ac:dyDescent="0.25">
      <c r="A58" t="e">
        <f>AND(#REF!,"AAAAAHX+1QA=")</f>
        <v>#REF!</v>
      </c>
      <c r="B58" t="e">
        <f>AND(#REF!,"AAAAAHX+1QE=")</f>
        <v>#REF!</v>
      </c>
      <c r="C58" t="e">
        <f>AND(#REF!,"AAAAAHX+1QI=")</f>
        <v>#REF!</v>
      </c>
      <c r="D58" t="e">
        <f>AND(#REF!,"AAAAAHX+1QM=")</f>
        <v>#REF!</v>
      </c>
      <c r="E58" t="e">
        <f>AND(#REF!,"AAAAAHX+1QQ=")</f>
        <v>#REF!</v>
      </c>
      <c r="F58" t="e">
        <f>AND(#REF!,"AAAAAHX+1QU=")</f>
        <v>#REF!</v>
      </c>
      <c r="G58" t="e">
        <f>AND(#REF!,"AAAAAHX+1QY=")</f>
        <v>#REF!</v>
      </c>
      <c r="H58" t="e">
        <f>AND(#REF!,"AAAAAHX+1Qc=")</f>
        <v>#REF!</v>
      </c>
      <c r="I58" t="e">
        <f>AND(#REF!,"AAAAAHX+1Qg=")</f>
        <v>#REF!</v>
      </c>
      <c r="J58" t="e">
        <f>AND(#REF!,"AAAAAHX+1Qk=")</f>
        <v>#REF!</v>
      </c>
      <c r="K58" t="e">
        <f>AND(#REF!,"AAAAAHX+1Qo=")</f>
        <v>#REF!</v>
      </c>
      <c r="L58" t="e">
        <f>AND(#REF!,"AAAAAHX+1Qs=")</f>
        <v>#REF!</v>
      </c>
      <c r="M58" t="e">
        <f>AND(#REF!,"AAAAAHX+1Qw=")</f>
        <v>#REF!</v>
      </c>
      <c r="N58" t="e">
        <f>AND(#REF!,"AAAAAHX+1Q0=")</f>
        <v>#REF!</v>
      </c>
      <c r="O58" t="e">
        <f>AND(#REF!,"AAAAAHX+1Q4=")</f>
        <v>#REF!</v>
      </c>
      <c r="P58" t="e">
        <f>AND(#REF!,"AAAAAHX+1Q8=")</f>
        <v>#REF!</v>
      </c>
      <c r="Q58" t="e">
        <f>AND(#REF!,"AAAAAHX+1RA=")</f>
        <v>#REF!</v>
      </c>
      <c r="R58" t="e">
        <f>IF(#REF!,"AAAAAHX+1RE=",0)</f>
        <v>#REF!</v>
      </c>
      <c r="S58" t="e">
        <f>AND(#REF!,"AAAAAHX+1RI=")</f>
        <v>#REF!</v>
      </c>
      <c r="T58" t="e">
        <f>AND(#REF!,"AAAAAHX+1RM=")</f>
        <v>#REF!</v>
      </c>
      <c r="U58" t="e">
        <f>AND(#REF!,"AAAAAHX+1RQ=")</f>
        <v>#REF!</v>
      </c>
      <c r="V58" t="e">
        <f>AND(#REF!,"AAAAAHX+1RU=")</f>
        <v>#REF!</v>
      </c>
      <c r="W58" t="e">
        <f>AND(#REF!,"AAAAAHX+1RY=")</f>
        <v>#REF!</v>
      </c>
      <c r="X58" t="e">
        <f>AND(#REF!,"AAAAAHX+1Rc=")</f>
        <v>#REF!</v>
      </c>
      <c r="Y58" t="e">
        <f>AND(#REF!,"AAAAAHX+1Rg=")</f>
        <v>#REF!</v>
      </c>
      <c r="Z58" t="e">
        <f>AND(#REF!,"AAAAAHX+1Rk=")</f>
        <v>#REF!</v>
      </c>
      <c r="AA58" t="e">
        <f>AND(#REF!,"AAAAAHX+1Ro=")</f>
        <v>#REF!</v>
      </c>
      <c r="AB58" t="e">
        <f>AND(#REF!,"AAAAAHX+1Rs=")</f>
        <v>#REF!</v>
      </c>
      <c r="AC58" t="e">
        <f>AND(#REF!,"AAAAAHX+1Rw=")</f>
        <v>#REF!</v>
      </c>
      <c r="AD58" t="e">
        <f>AND(#REF!,"AAAAAHX+1R0=")</f>
        <v>#REF!</v>
      </c>
      <c r="AE58" t="e">
        <f>AND(#REF!,"AAAAAHX+1R4=")</f>
        <v>#REF!</v>
      </c>
      <c r="AF58" t="e">
        <f>AND(#REF!,"AAAAAHX+1R8=")</f>
        <v>#REF!</v>
      </c>
      <c r="AG58" t="e">
        <f>AND(#REF!,"AAAAAHX+1SA=")</f>
        <v>#REF!</v>
      </c>
      <c r="AH58" t="e">
        <f>AND(#REF!,"AAAAAHX+1SE=")</f>
        <v>#REF!</v>
      </c>
      <c r="AI58" t="e">
        <f>AND(#REF!,"AAAAAHX+1SI=")</f>
        <v>#REF!</v>
      </c>
      <c r="AJ58" t="e">
        <f>AND(#REF!,"AAAAAHX+1SM=")</f>
        <v>#REF!</v>
      </c>
      <c r="AK58" t="e">
        <f>AND(#REF!,"AAAAAHX+1SQ=")</f>
        <v>#REF!</v>
      </c>
      <c r="AL58" t="e">
        <f>AND(#REF!,"AAAAAHX+1SU=")</f>
        <v>#REF!</v>
      </c>
      <c r="AM58" t="e">
        <f>AND(#REF!,"AAAAAHX+1SY=")</f>
        <v>#REF!</v>
      </c>
      <c r="AN58" t="e">
        <f>AND(#REF!,"AAAAAHX+1Sc=")</f>
        <v>#REF!</v>
      </c>
      <c r="AO58" t="e">
        <f>AND(#REF!,"AAAAAHX+1Sg=")</f>
        <v>#REF!</v>
      </c>
      <c r="AP58" t="e">
        <f>IF(#REF!,"AAAAAHX+1Sk=",0)</f>
        <v>#REF!</v>
      </c>
      <c r="AQ58" t="e">
        <f>AND(#REF!,"AAAAAHX+1So=")</f>
        <v>#REF!</v>
      </c>
      <c r="AR58" t="e">
        <f>AND(#REF!,"AAAAAHX+1Ss=")</f>
        <v>#REF!</v>
      </c>
      <c r="AS58" t="e">
        <f>AND(#REF!,"AAAAAHX+1Sw=")</f>
        <v>#REF!</v>
      </c>
      <c r="AT58" t="e">
        <f>AND(#REF!,"AAAAAHX+1S0=")</f>
        <v>#REF!</v>
      </c>
      <c r="AU58" t="e">
        <f>AND(#REF!,"AAAAAHX+1S4=")</f>
        <v>#REF!</v>
      </c>
      <c r="AV58" t="e">
        <f>AND(#REF!,"AAAAAHX+1S8=")</f>
        <v>#REF!</v>
      </c>
      <c r="AW58" t="e">
        <f>AND(#REF!,"AAAAAHX+1TA=")</f>
        <v>#REF!</v>
      </c>
      <c r="AX58" t="e">
        <f>AND(#REF!,"AAAAAHX+1TE=")</f>
        <v>#REF!</v>
      </c>
      <c r="AY58" t="e">
        <f>AND(#REF!,"AAAAAHX+1TI=")</f>
        <v>#REF!</v>
      </c>
      <c r="AZ58" t="e">
        <f>AND(#REF!,"AAAAAHX+1TM=")</f>
        <v>#REF!</v>
      </c>
      <c r="BA58" t="e">
        <f>AND(#REF!,"AAAAAHX+1TQ=")</f>
        <v>#REF!</v>
      </c>
      <c r="BB58" t="e">
        <f>AND(#REF!,"AAAAAHX+1TU=")</f>
        <v>#REF!</v>
      </c>
      <c r="BC58" t="e">
        <f>AND(#REF!,"AAAAAHX+1TY=")</f>
        <v>#REF!</v>
      </c>
      <c r="BD58" t="e">
        <f>AND(#REF!,"AAAAAHX+1Tc=")</f>
        <v>#REF!</v>
      </c>
      <c r="BE58" t="e">
        <f>AND(#REF!,"AAAAAHX+1Tg=")</f>
        <v>#REF!</v>
      </c>
      <c r="BF58" t="e">
        <f>AND(#REF!,"AAAAAHX+1Tk=")</f>
        <v>#REF!</v>
      </c>
      <c r="BG58" t="e">
        <f>AND(#REF!,"AAAAAHX+1To=")</f>
        <v>#REF!</v>
      </c>
      <c r="BH58" t="e">
        <f>AND(#REF!,"AAAAAHX+1Ts=")</f>
        <v>#REF!</v>
      </c>
      <c r="BI58" t="e">
        <f>AND(#REF!,"AAAAAHX+1Tw=")</f>
        <v>#REF!</v>
      </c>
      <c r="BJ58" t="e">
        <f>AND(#REF!,"AAAAAHX+1T0=")</f>
        <v>#REF!</v>
      </c>
      <c r="BK58" t="e">
        <f>AND(#REF!,"AAAAAHX+1T4=")</f>
        <v>#REF!</v>
      </c>
      <c r="BL58" t="e">
        <f>AND(#REF!,"AAAAAHX+1T8=")</f>
        <v>#REF!</v>
      </c>
      <c r="BM58" t="e">
        <f>AND(#REF!,"AAAAAHX+1UA=")</f>
        <v>#REF!</v>
      </c>
      <c r="BN58" t="e">
        <f>IF(#REF!,"AAAAAHX+1UE=",0)</f>
        <v>#REF!</v>
      </c>
      <c r="BO58" t="e">
        <f>AND(#REF!,"AAAAAHX+1UI=")</f>
        <v>#REF!</v>
      </c>
      <c r="BP58" t="e">
        <f>AND(#REF!,"AAAAAHX+1UM=")</f>
        <v>#REF!</v>
      </c>
      <c r="BQ58" t="e">
        <f>AND(#REF!,"AAAAAHX+1UQ=")</f>
        <v>#REF!</v>
      </c>
      <c r="BR58" t="e">
        <f>AND(#REF!,"AAAAAHX+1UU=")</f>
        <v>#REF!</v>
      </c>
      <c r="BS58" t="e">
        <f>AND(#REF!,"AAAAAHX+1UY=")</f>
        <v>#REF!</v>
      </c>
      <c r="BT58" t="e">
        <f>AND(#REF!,"AAAAAHX+1Uc=")</f>
        <v>#REF!</v>
      </c>
      <c r="BU58" t="e">
        <f>AND(#REF!,"AAAAAHX+1Ug=")</f>
        <v>#REF!</v>
      </c>
      <c r="BV58" t="e">
        <f>AND(#REF!,"AAAAAHX+1Uk=")</f>
        <v>#REF!</v>
      </c>
      <c r="BW58" t="e">
        <f>AND(#REF!,"AAAAAHX+1Uo=")</f>
        <v>#REF!</v>
      </c>
      <c r="BX58" t="e">
        <f>AND(#REF!,"AAAAAHX+1Us=")</f>
        <v>#REF!</v>
      </c>
      <c r="BY58" t="e">
        <f>AND(#REF!,"AAAAAHX+1Uw=")</f>
        <v>#REF!</v>
      </c>
      <c r="BZ58" t="e">
        <f>AND(#REF!,"AAAAAHX+1U0=")</f>
        <v>#REF!</v>
      </c>
      <c r="CA58" t="e">
        <f>AND(#REF!,"AAAAAHX+1U4=")</f>
        <v>#REF!</v>
      </c>
      <c r="CB58" t="e">
        <f>AND(#REF!,"AAAAAHX+1U8=")</f>
        <v>#REF!</v>
      </c>
      <c r="CC58" t="e">
        <f>AND(#REF!,"AAAAAHX+1VA=")</f>
        <v>#REF!</v>
      </c>
      <c r="CD58" t="e">
        <f>AND(#REF!,"AAAAAHX+1VE=")</f>
        <v>#REF!</v>
      </c>
      <c r="CE58" t="e">
        <f>AND(#REF!,"AAAAAHX+1VI=")</f>
        <v>#REF!</v>
      </c>
      <c r="CF58" t="e">
        <f>AND(#REF!,"AAAAAHX+1VM=")</f>
        <v>#REF!</v>
      </c>
      <c r="CG58" t="e">
        <f>AND(#REF!,"AAAAAHX+1VQ=")</f>
        <v>#REF!</v>
      </c>
      <c r="CH58" t="e">
        <f>AND(#REF!,"AAAAAHX+1VU=")</f>
        <v>#REF!</v>
      </c>
      <c r="CI58" t="e">
        <f>AND(#REF!,"AAAAAHX+1VY=")</f>
        <v>#REF!</v>
      </c>
      <c r="CJ58" t="e">
        <f>AND(#REF!,"AAAAAHX+1Vc=")</f>
        <v>#REF!</v>
      </c>
      <c r="CK58" t="e">
        <f>AND(#REF!,"AAAAAHX+1Vg=")</f>
        <v>#REF!</v>
      </c>
      <c r="CL58" t="e">
        <f>IF(#REF!,"AAAAAHX+1Vk=",0)</f>
        <v>#REF!</v>
      </c>
      <c r="CM58" t="e">
        <f>AND(#REF!,"AAAAAHX+1Vo=")</f>
        <v>#REF!</v>
      </c>
      <c r="CN58" t="e">
        <f>AND(#REF!,"AAAAAHX+1Vs=")</f>
        <v>#REF!</v>
      </c>
      <c r="CO58" t="e">
        <f>AND(#REF!,"AAAAAHX+1Vw=")</f>
        <v>#REF!</v>
      </c>
      <c r="CP58" t="e">
        <f>AND(#REF!,"AAAAAHX+1V0=")</f>
        <v>#REF!</v>
      </c>
      <c r="CQ58" t="e">
        <f>AND(#REF!,"AAAAAHX+1V4=")</f>
        <v>#REF!</v>
      </c>
      <c r="CR58" t="e">
        <f>AND(#REF!,"AAAAAHX+1V8=")</f>
        <v>#REF!</v>
      </c>
      <c r="CS58" t="e">
        <f>AND(#REF!,"AAAAAHX+1WA=")</f>
        <v>#REF!</v>
      </c>
      <c r="CT58" t="e">
        <f>AND(#REF!,"AAAAAHX+1WE=")</f>
        <v>#REF!</v>
      </c>
      <c r="CU58" t="e">
        <f>AND(#REF!,"AAAAAHX+1WI=")</f>
        <v>#REF!</v>
      </c>
      <c r="CV58" t="e">
        <f>AND(#REF!,"AAAAAHX+1WM=")</f>
        <v>#REF!</v>
      </c>
      <c r="CW58" t="e">
        <f>AND(#REF!,"AAAAAHX+1WQ=")</f>
        <v>#REF!</v>
      </c>
      <c r="CX58" t="e">
        <f>AND(#REF!,"AAAAAHX+1WU=")</f>
        <v>#REF!</v>
      </c>
      <c r="CY58" t="e">
        <f>AND(#REF!,"AAAAAHX+1WY=")</f>
        <v>#REF!</v>
      </c>
      <c r="CZ58" t="e">
        <f>AND(#REF!,"AAAAAHX+1Wc=")</f>
        <v>#REF!</v>
      </c>
      <c r="DA58" t="e">
        <f>AND(#REF!,"AAAAAHX+1Wg=")</f>
        <v>#REF!</v>
      </c>
      <c r="DB58" t="e">
        <f>AND(#REF!,"AAAAAHX+1Wk=")</f>
        <v>#REF!</v>
      </c>
      <c r="DC58" t="e">
        <f>AND(#REF!,"AAAAAHX+1Wo=")</f>
        <v>#REF!</v>
      </c>
      <c r="DD58" t="e">
        <f>AND(#REF!,"AAAAAHX+1Ws=")</f>
        <v>#REF!</v>
      </c>
      <c r="DE58" t="e">
        <f>AND(#REF!,"AAAAAHX+1Ww=")</f>
        <v>#REF!</v>
      </c>
      <c r="DF58" t="e">
        <f>AND(#REF!,"AAAAAHX+1W0=")</f>
        <v>#REF!</v>
      </c>
      <c r="DG58" t="e">
        <f>AND(#REF!,"AAAAAHX+1W4=")</f>
        <v>#REF!</v>
      </c>
      <c r="DH58" t="e">
        <f>AND(#REF!,"AAAAAHX+1W8=")</f>
        <v>#REF!</v>
      </c>
      <c r="DI58" t="e">
        <f>AND(#REF!,"AAAAAHX+1XA=")</f>
        <v>#REF!</v>
      </c>
      <c r="DJ58" t="e">
        <f>IF(#REF!,"AAAAAHX+1XE=",0)</f>
        <v>#REF!</v>
      </c>
      <c r="DK58" t="e">
        <f>AND(#REF!,"AAAAAHX+1XI=")</f>
        <v>#REF!</v>
      </c>
      <c r="DL58" t="e">
        <f>AND(#REF!,"AAAAAHX+1XM=")</f>
        <v>#REF!</v>
      </c>
      <c r="DM58" t="e">
        <f>AND(#REF!,"AAAAAHX+1XQ=")</f>
        <v>#REF!</v>
      </c>
      <c r="DN58" t="e">
        <f>AND(#REF!,"AAAAAHX+1XU=")</f>
        <v>#REF!</v>
      </c>
      <c r="DO58" t="e">
        <f>AND(#REF!,"AAAAAHX+1XY=")</f>
        <v>#REF!</v>
      </c>
      <c r="DP58" t="e">
        <f>AND(#REF!,"AAAAAHX+1Xc=")</f>
        <v>#REF!</v>
      </c>
      <c r="DQ58" t="e">
        <f>AND(#REF!,"AAAAAHX+1Xg=")</f>
        <v>#REF!</v>
      </c>
      <c r="DR58" t="e">
        <f>AND(#REF!,"AAAAAHX+1Xk=")</f>
        <v>#REF!</v>
      </c>
      <c r="DS58" t="e">
        <f>AND(#REF!,"AAAAAHX+1Xo=")</f>
        <v>#REF!</v>
      </c>
      <c r="DT58" t="e">
        <f>AND(#REF!,"AAAAAHX+1Xs=")</f>
        <v>#REF!</v>
      </c>
      <c r="DU58" t="e">
        <f>AND(#REF!,"AAAAAHX+1Xw=")</f>
        <v>#REF!</v>
      </c>
      <c r="DV58" t="e">
        <f>AND(#REF!,"AAAAAHX+1X0=")</f>
        <v>#REF!</v>
      </c>
      <c r="DW58" t="e">
        <f>AND(#REF!,"AAAAAHX+1X4=")</f>
        <v>#REF!</v>
      </c>
      <c r="DX58" t="e">
        <f>AND(#REF!,"AAAAAHX+1X8=")</f>
        <v>#REF!</v>
      </c>
      <c r="DY58" t="e">
        <f>AND(#REF!,"AAAAAHX+1YA=")</f>
        <v>#REF!</v>
      </c>
      <c r="DZ58" t="e">
        <f>AND(#REF!,"AAAAAHX+1YE=")</f>
        <v>#REF!</v>
      </c>
      <c r="EA58" t="e">
        <f>AND(#REF!,"AAAAAHX+1YI=")</f>
        <v>#REF!</v>
      </c>
      <c r="EB58" t="e">
        <f>AND(#REF!,"AAAAAHX+1YM=")</f>
        <v>#REF!</v>
      </c>
      <c r="EC58" t="e">
        <f>AND(#REF!,"AAAAAHX+1YQ=")</f>
        <v>#REF!</v>
      </c>
      <c r="ED58" t="e">
        <f>AND(#REF!,"AAAAAHX+1YU=")</f>
        <v>#REF!</v>
      </c>
      <c r="EE58" t="e">
        <f>AND(#REF!,"AAAAAHX+1YY=")</f>
        <v>#REF!</v>
      </c>
      <c r="EF58" t="e">
        <f>AND(#REF!,"AAAAAHX+1Yc=")</f>
        <v>#REF!</v>
      </c>
      <c r="EG58" t="e">
        <f>AND(#REF!,"AAAAAHX+1Yg=")</f>
        <v>#REF!</v>
      </c>
      <c r="EH58" t="e">
        <f>IF(#REF!,"AAAAAHX+1Yk=",0)</f>
        <v>#REF!</v>
      </c>
      <c r="EI58" t="e">
        <f>AND(#REF!,"AAAAAHX+1Yo=")</f>
        <v>#REF!</v>
      </c>
      <c r="EJ58" t="e">
        <f>AND(#REF!,"AAAAAHX+1Ys=")</f>
        <v>#REF!</v>
      </c>
      <c r="EK58" t="e">
        <f>AND(#REF!,"AAAAAHX+1Yw=")</f>
        <v>#REF!</v>
      </c>
      <c r="EL58" t="e">
        <f>AND(#REF!,"AAAAAHX+1Y0=")</f>
        <v>#REF!</v>
      </c>
      <c r="EM58" t="e">
        <f>AND(#REF!,"AAAAAHX+1Y4=")</f>
        <v>#REF!</v>
      </c>
      <c r="EN58" t="e">
        <f>AND(#REF!,"AAAAAHX+1Y8=")</f>
        <v>#REF!</v>
      </c>
      <c r="EO58" t="e">
        <f>AND(#REF!,"AAAAAHX+1ZA=")</f>
        <v>#REF!</v>
      </c>
      <c r="EP58" t="e">
        <f>AND(#REF!,"AAAAAHX+1ZE=")</f>
        <v>#REF!</v>
      </c>
      <c r="EQ58" t="e">
        <f>AND(#REF!,"AAAAAHX+1ZI=")</f>
        <v>#REF!</v>
      </c>
      <c r="ER58" t="e">
        <f>AND(#REF!,"AAAAAHX+1ZM=")</f>
        <v>#REF!</v>
      </c>
      <c r="ES58" t="e">
        <f>AND(#REF!,"AAAAAHX+1ZQ=")</f>
        <v>#REF!</v>
      </c>
      <c r="ET58" t="e">
        <f>AND(#REF!,"AAAAAHX+1ZU=")</f>
        <v>#REF!</v>
      </c>
      <c r="EU58" t="e">
        <f>AND(#REF!,"AAAAAHX+1ZY=")</f>
        <v>#REF!</v>
      </c>
      <c r="EV58" t="e">
        <f>AND(#REF!,"AAAAAHX+1Zc=")</f>
        <v>#REF!</v>
      </c>
      <c r="EW58" t="e">
        <f>AND(#REF!,"AAAAAHX+1Zg=")</f>
        <v>#REF!</v>
      </c>
      <c r="EX58" t="e">
        <f>AND(#REF!,"AAAAAHX+1Zk=")</f>
        <v>#REF!</v>
      </c>
      <c r="EY58" t="e">
        <f>AND(#REF!,"AAAAAHX+1Zo=")</f>
        <v>#REF!</v>
      </c>
      <c r="EZ58" t="e">
        <f>AND(#REF!,"AAAAAHX+1Zs=")</f>
        <v>#REF!</v>
      </c>
      <c r="FA58" t="e">
        <f>AND(#REF!,"AAAAAHX+1Zw=")</f>
        <v>#REF!</v>
      </c>
      <c r="FB58" t="e">
        <f>AND(#REF!,"AAAAAHX+1Z0=")</f>
        <v>#REF!</v>
      </c>
      <c r="FC58" t="e">
        <f>AND(#REF!,"AAAAAHX+1Z4=")</f>
        <v>#REF!</v>
      </c>
      <c r="FD58" t="e">
        <f>AND(#REF!,"AAAAAHX+1Z8=")</f>
        <v>#REF!</v>
      </c>
      <c r="FE58" t="e">
        <f>AND(#REF!,"AAAAAHX+1aA=")</f>
        <v>#REF!</v>
      </c>
      <c r="FF58" t="e">
        <f>IF(#REF!,"AAAAAHX+1aE=",0)</f>
        <v>#REF!</v>
      </c>
      <c r="FG58" t="e">
        <f>AND(#REF!,"AAAAAHX+1aI=")</f>
        <v>#REF!</v>
      </c>
      <c r="FH58" t="e">
        <f>AND(#REF!,"AAAAAHX+1aM=")</f>
        <v>#REF!</v>
      </c>
      <c r="FI58" t="e">
        <f>AND(#REF!,"AAAAAHX+1aQ=")</f>
        <v>#REF!</v>
      </c>
      <c r="FJ58" t="e">
        <f>AND(#REF!,"AAAAAHX+1aU=")</f>
        <v>#REF!</v>
      </c>
      <c r="FK58" t="e">
        <f>AND(#REF!,"AAAAAHX+1aY=")</f>
        <v>#REF!</v>
      </c>
      <c r="FL58" t="e">
        <f>AND(#REF!,"AAAAAHX+1ac=")</f>
        <v>#REF!</v>
      </c>
      <c r="FM58" t="e">
        <f>AND(#REF!,"AAAAAHX+1ag=")</f>
        <v>#REF!</v>
      </c>
      <c r="FN58" t="e">
        <f>AND(#REF!,"AAAAAHX+1ak=")</f>
        <v>#REF!</v>
      </c>
      <c r="FO58" t="e">
        <f>AND(#REF!,"AAAAAHX+1ao=")</f>
        <v>#REF!</v>
      </c>
      <c r="FP58" t="e">
        <f>AND(#REF!,"AAAAAHX+1as=")</f>
        <v>#REF!</v>
      </c>
      <c r="FQ58" t="e">
        <f>AND(#REF!,"AAAAAHX+1aw=")</f>
        <v>#REF!</v>
      </c>
      <c r="FR58" t="e">
        <f>AND(#REF!,"AAAAAHX+1a0=")</f>
        <v>#REF!</v>
      </c>
      <c r="FS58" t="e">
        <f>AND(#REF!,"AAAAAHX+1a4=")</f>
        <v>#REF!</v>
      </c>
      <c r="FT58" t="e">
        <f>AND(#REF!,"AAAAAHX+1a8=")</f>
        <v>#REF!</v>
      </c>
      <c r="FU58" t="e">
        <f>AND(#REF!,"AAAAAHX+1bA=")</f>
        <v>#REF!</v>
      </c>
      <c r="FV58" t="e">
        <f>AND(#REF!,"AAAAAHX+1bE=")</f>
        <v>#REF!</v>
      </c>
      <c r="FW58" t="e">
        <f>AND(#REF!,"AAAAAHX+1bI=")</f>
        <v>#REF!</v>
      </c>
      <c r="FX58" t="e">
        <f>AND(#REF!,"AAAAAHX+1bM=")</f>
        <v>#REF!</v>
      </c>
      <c r="FY58" t="e">
        <f>AND(#REF!,"AAAAAHX+1bQ=")</f>
        <v>#REF!</v>
      </c>
      <c r="FZ58" t="e">
        <f>AND(#REF!,"AAAAAHX+1bU=")</f>
        <v>#REF!</v>
      </c>
      <c r="GA58" t="e">
        <f>AND(#REF!,"AAAAAHX+1bY=")</f>
        <v>#REF!</v>
      </c>
      <c r="GB58" t="e">
        <f>AND(#REF!,"AAAAAHX+1bc=")</f>
        <v>#REF!</v>
      </c>
      <c r="GC58" t="e">
        <f>AND(#REF!,"AAAAAHX+1bg=")</f>
        <v>#REF!</v>
      </c>
      <c r="GD58" t="e">
        <f>IF(#REF!,"AAAAAHX+1bk=",0)</f>
        <v>#REF!</v>
      </c>
      <c r="GE58" t="e">
        <f>AND(#REF!,"AAAAAHX+1bo=")</f>
        <v>#REF!</v>
      </c>
      <c r="GF58" t="e">
        <f>AND(#REF!,"AAAAAHX+1bs=")</f>
        <v>#REF!</v>
      </c>
      <c r="GG58" t="e">
        <f>AND(#REF!,"AAAAAHX+1bw=")</f>
        <v>#REF!</v>
      </c>
      <c r="GH58" t="e">
        <f>AND(#REF!,"AAAAAHX+1b0=")</f>
        <v>#REF!</v>
      </c>
      <c r="GI58" t="e">
        <f>AND(#REF!,"AAAAAHX+1b4=")</f>
        <v>#REF!</v>
      </c>
      <c r="GJ58" t="e">
        <f>AND(#REF!,"AAAAAHX+1b8=")</f>
        <v>#REF!</v>
      </c>
      <c r="GK58" t="e">
        <f>AND(#REF!,"AAAAAHX+1cA=")</f>
        <v>#REF!</v>
      </c>
      <c r="GL58" t="e">
        <f>AND(#REF!,"AAAAAHX+1cE=")</f>
        <v>#REF!</v>
      </c>
      <c r="GM58" t="e">
        <f>AND(#REF!,"AAAAAHX+1cI=")</f>
        <v>#REF!</v>
      </c>
      <c r="GN58" t="e">
        <f>AND(#REF!,"AAAAAHX+1cM=")</f>
        <v>#REF!</v>
      </c>
      <c r="GO58" t="e">
        <f>AND(#REF!,"AAAAAHX+1cQ=")</f>
        <v>#REF!</v>
      </c>
      <c r="GP58" t="e">
        <f>AND(#REF!,"AAAAAHX+1cU=")</f>
        <v>#REF!</v>
      </c>
      <c r="GQ58" t="e">
        <f>AND(#REF!,"AAAAAHX+1cY=")</f>
        <v>#REF!</v>
      </c>
      <c r="GR58" t="e">
        <f>AND(#REF!,"AAAAAHX+1cc=")</f>
        <v>#REF!</v>
      </c>
      <c r="GS58" t="e">
        <f>AND(#REF!,"AAAAAHX+1cg=")</f>
        <v>#REF!</v>
      </c>
      <c r="GT58" t="e">
        <f>AND(#REF!,"AAAAAHX+1ck=")</f>
        <v>#REF!</v>
      </c>
      <c r="GU58" t="e">
        <f>AND(#REF!,"AAAAAHX+1co=")</f>
        <v>#REF!</v>
      </c>
      <c r="GV58" t="e">
        <f>AND(#REF!,"AAAAAHX+1cs=")</f>
        <v>#REF!</v>
      </c>
      <c r="GW58" t="e">
        <f>AND(#REF!,"AAAAAHX+1cw=")</f>
        <v>#REF!</v>
      </c>
      <c r="GX58" t="e">
        <f>AND(#REF!,"AAAAAHX+1c0=")</f>
        <v>#REF!</v>
      </c>
      <c r="GY58" t="e">
        <f>AND(#REF!,"AAAAAHX+1c4=")</f>
        <v>#REF!</v>
      </c>
      <c r="GZ58" t="e">
        <f>AND(#REF!,"AAAAAHX+1c8=")</f>
        <v>#REF!</v>
      </c>
      <c r="HA58" t="e">
        <f>AND(#REF!,"AAAAAHX+1dA=")</f>
        <v>#REF!</v>
      </c>
      <c r="HB58" t="e">
        <f>IF(#REF!,"AAAAAHX+1dE=",0)</f>
        <v>#REF!</v>
      </c>
      <c r="HC58" t="e">
        <f>AND(#REF!,"AAAAAHX+1dI=")</f>
        <v>#REF!</v>
      </c>
      <c r="HD58" t="e">
        <f>AND(#REF!,"AAAAAHX+1dM=")</f>
        <v>#REF!</v>
      </c>
      <c r="HE58" t="e">
        <f>AND(#REF!,"AAAAAHX+1dQ=")</f>
        <v>#REF!</v>
      </c>
      <c r="HF58" t="e">
        <f>AND(#REF!,"AAAAAHX+1dU=")</f>
        <v>#REF!</v>
      </c>
      <c r="HG58" t="e">
        <f>AND(#REF!,"AAAAAHX+1dY=")</f>
        <v>#REF!</v>
      </c>
      <c r="HH58" t="e">
        <f>AND(#REF!,"AAAAAHX+1dc=")</f>
        <v>#REF!</v>
      </c>
      <c r="HI58" t="e">
        <f>AND(#REF!,"AAAAAHX+1dg=")</f>
        <v>#REF!</v>
      </c>
      <c r="HJ58" t="e">
        <f>AND(#REF!,"AAAAAHX+1dk=")</f>
        <v>#REF!</v>
      </c>
      <c r="HK58" t="e">
        <f>AND(#REF!,"AAAAAHX+1do=")</f>
        <v>#REF!</v>
      </c>
      <c r="HL58" t="e">
        <f>AND(#REF!,"AAAAAHX+1ds=")</f>
        <v>#REF!</v>
      </c>
      <c r="HM58" t="e">
        <f>AND(#REF!,"AAAAAHX+1dw=")</f>
        <v>#REF!</v>
      </c>
      <c r="HN58" t="e">
        <f>AND(#REF!,"AAAAAHX+1d0=")</f>
        <v>#REF!</v>
      </c>
      <c r="HO58" t="e">
        <f>AND(#REF!,"AAAAAHX+1d4=")</f>
        <v>#REF!</v>
      </c>
      <c r="HP58" t="e">
        <f>AND(#REF!,"AAAAAHX+1d8=")</f>
        <v>#REF!</v>
      </c>
      <c r="HQ58" t="e">
        <f>AND(#REF!,"AAAAAHX+1eA=")</f>
        <v>#REF!</v>
      </c>
      <c r="HR58" t="e">
        <f>AND(#REF!,"AAAAAHX+1eE=")</f>
        <v>#REF!</v>
      </c>
      <c r="HS58" t="e">
        <f>AND(#REF!,"AAAAAHX+1eI=")</f>
        <v>#REF!</v>
      </c>
      <c r="HT58" t="e">
        <f>AND(#REF!,"AAAAAHX+1eM=")</f>
        <v>#REF!</v>
      </c>
      <c r="HU58" t="e">
        <f>AND(#REF!,"AAAAAHX+1eQ=")</f>
        <v>#REF!</v>
      </c>
      <c r="HV58" t="e">
        <f>AND(#REF!,"AAAAAHX+1eU=")</f>
        <v>#REF!</v>
      </c>
      <c r="HW58" t="e">
        <f>AND(#REF!,"AAAAAHX+1eY=")</f>
        <v>#REF!</v>
      </c>
      <c r="HX58" t="e">
        <f>AND(#REF!,"AAAAAHX+1ec=")</f>
        <v>#REF!</v>
      </c>
      <c r="HY58" t="e">
        <f>AND(#REF!,"AAAAAHX+1eg=")</f>
        <v>#REF!</v>
      </c>
      <c r="HZ58" t="e">
        <f>IF(#REF!,"AAAAAHX+1ek=",0)</f>
        <v>#REF!</v>
      </c>
      <c r="IA58" t="e">
        <f>AND(#REF!,"AAAAAHX+1eo=")</f>
        <v>#REF!</v>
      </c>
      <c r="IB58" t="e">
        <f>AND(#REF!,"AAAAAHX+1es=")</f>
        <v>#REF!</v>
      </c>
      <c r="IC58" t="e">
        <f>AND(#REF!,"AAAAAHX+1ew=")</f>
        <v>#REF!</v>
      </c>
      <c r="ID58" t="e">
        <f>AND(#REF!,"AAAAAHX+1e0=")</f>
        <v>#REF!</v>
      </c>
      <c r="IE58" t="e">
        <f>AND(#REF!,"AAAAAHX+1e4=")</f>
        <v>#REF!</v>
      </c>
      <c r="IF58" t="e">
        <f>AND(#REF!,"AAAAAHX+1e8=")</f>
        <v>#REF!</v>
      </c>
      <c r="IG58" t="e">
        <f>AND(#REF!,"AAAAAHX+1fA=")</f>
        <v>#REF!</v>
      </c>
      <c r="IH58" t="e">
        <f>AND(#REF!,"AAAAAHX+1fE=")</f>
        <v>#REF!</v>
      </c>
      <c r="II58" t="e">
        <f>AND(#REF!,"AAAAAHX+1fI=")</f>
        <v>#REF!</v>
      </c>
      <c r="IJ58" t="e">
        <f>AND(#REF!,"AAAAAHX+1fM=")</f>
        <v>#REF!</v>
      </c>
      <c r="IK58" t="e">
        <f>AND(#REF!,"AAAAAHX+1fQ=")</f>
        <v>#REF!</v>
      </c>
      <c r="IL58" t="e">
        <f>AND(#REF!,"AAAAAHX+1fU=")</f>
        <v>#REF!</v>
      </c>
      <c r="IM58" t="e">
        <f>AND(#REF!,"AAAAAHX+1fY=")</f>
        <v>#REF!</v>
      </c>
      <c r="IN58" t="e">
        <f>AND(#REF!,"AAAAAHX+1fc=")</f>
        <v>#REF!</v>
      </c>
      <c r="IO58" t="e">
        <f>AND(#REF!,"AAAAAHX+1fg=")</f>
        <v>#REF!</v>
      </c>
      <c r="IP58" t="e">
        <f>AND(#REF!,"AAAAAHX+1fk=")</f>
        <v>#REF!</v>
      </c>
      <c r="IQ58" t="e">
        <f>AND(#REF!,"AAAAAHX+1fo=")</f>
        <v>#REF!</v>
      </c>
      <c r="IR58" t="e">
        <f>AND(#REF!,"AAAAAHX+1fs=")</f>
        <v>#REF!</v>
      </c>
      <c r="IS58" t="e">
        <f>AND(#REF!,"AAAAAHX+1fw=")</f>
        <v>#REF!</v>
      </c>
      <c r="IT58" t="e">
        <f>AND(#REF!,"AAAAAHX+1f0=")</f>
        <v>#REF!</v>
      </c>
      <c r="IU58" t="e">
        <f>AND(#REF!,"AAAAAHX+1f4=")</f>
        <v>#REF!</v>
      </c>
      <c r="IV58" t="e">
        <f>AND(#REF!,"AAAAAHX+1f8=")</f>
        <v>#REF!</v>
      </c>
    </row>
    <row r="59" spans="1:256" x14ac:dyDescent="0.25">
      <c r="A59" t="e">
        <f>AND(#REF!,"AAAAAFebHQA=")</f>
        <v>#REF!</v>
      </c>
      <c r="B59" t="e">
        <f>IF(#REF!,"AAAAAFebHQE=",0)</f>
        <v>#REF!</v>
      </c>
      <c r="C59" t="e">
        <f>AND(#REF!,"AAAAAFebHQI=")</f>
        <v>#REF!</v>
      </c>
      <c r="D59" t="e">
        <f>AND(#REF!,"AAAAAFebHQM=")</f>
        <v>#REF!</v>
      </c>
      <c r="E59" t="e">
        <f>AND(#REF!,"AAAAAFebHQQ=")</f>
        <v>#REF!</v>
      </c>
      <c r="F59" t="e">
        <f>AND(#REF!,"AAAAAFebHQU=")</f>
        <v>#REF!</v>
      </c>
      <c r="G59" t="e">
        <f>AND(#REF!,"AAAAAFebHQY=")</f>
        <v>#REF!</v>
      </c>
      <c r="H59" t="e">
        <f>AND(#REF!,"AAAAAFebHQc=")</f>
        <v>#REF!</v>
      </c>
      <c r="I59" t="e">
        <f>AND(#REF!,"AAAAAFebHQg=")</f>
        <v>#REF!</v>
      </c>
      <c r="J59" t="e">
        <f>AND(#REF!,"AAAAAFebHQk=")</f>
        <v>#REF!</v>
      </c>
      <c r="K59" t="e">
        <f>AND(#REF!,"AAAAAFebHQo=")</f>
        <v>#REF!</v>
      </c>
      <c r="L59" t="e">
        <f>AND(#REF!,"AAAAAFebHQs=")</f>
        <v>#REF!</v>
      </c>
      <c r="M59" t="e">
        <f>AND(#REF!,"AAAAAFebHQw=")</f>
        <v>#REF!</v>
      </c>
      <c r="N59" t="e">
        <f>AND(#REF!,"AAAAAFebHQ0=")</f>
        <v>#REF!</v>
      </c>
      <c r="O59" t="e">
        <f>AND(#REF!,"AAAAAFebHQ4=")</f>
        <v>#REF!</v>
      </c>
      <c r="P59" t="e">
        <f>AND(#REF!,"AAAAAFebHQ8=")</f>
        <v>#REF!</v>
      </c>
      <c r="Q59" t="e">
        <f>AND(#REF!,"AAAAAFebHRA=")</f>
        <v>#REF!</v>
      </c>
      <c r="R59" t="e">
        <f>AND(#REF!,"AAAAAFebHRE=")</f>
        <v>#REF!</v>
      </c>
      <c r="S59" t="e">
        <f>AND(#REF!,"AAAAAFebHRI=")</f>
        <v>#REF!</v>
      </c>
      <c r="T59" t="e">
        <f>AND(#REF!,"AAAAAFebHRM=")</f>
        <v>#REF!</v>
      </c>
      <c r="U59" t="e">
        <f>AND(#REF!,"AAAAAFebHRQ=")</f>
        <v>#REF!</v>
      </c>
      <c r="V59" t="e">
        <f>AND(#REF!,"AAAAAFebHRU=")</f>
        <v>#REF!</v>
      </c>
      <c r="W59" t="e">
        <f>AND(#REF!,"AAAAAFebHRY=")</f>
        <v>#REF!</v>
      </c>
      <c r="X59" t="e">
        <f>AND(#REF!,"AAAAAFebHRc=")</f>
        <v>#REF!</v>
      </c>
      <c r="Y59" t="e">
        <f>AND(#REF!,"AAAAAFebHRg=")</f>
        <v>#REF!</v>
      </c>
      <c r="Z59" t="e">
        <f>IF(#REF!,"AAAAAFebHRk=",0)</f>
        <v>#REF!</v>
      </c>
      <c r="AA59" t="e">
        <f>AND(#REF!,"AAAAAFebHRo=")</f>
        <v>#REF!</v>
      </c>
      <c r="AB59" t="e">
        <f>AND(#REF!,"AAAAAFebHRs=")</f>
        <v>#REF!</v>
      </c>
      <c r="AC59" t="e">
        <f>AND(#REF!,"AAAAAFebHRw=")</f>
        <v>#REF!</v>
      </c>
      <c r="AD59" t="e">
        <f>AND(#REF!,"AAAAAFebHR0=")</f>
        <v>#REF!</v>
      </c>
      <c r="AE59" t="e">
        <f>AND(#REF!,"AAAAAFebHR4=")</f>
        <v>#REF!</v>
      </c>
      <c r="AF59" t="e">
        <f>AND(#REF!,"AAAAAFebHR8=")</f>
        <v>#REF!</v>
      </c>
      <c r="AG59" t="e">
        <f>AND(#REF!,"AAAAAFebHSA=")</f>
        <v>#REF!</v>
      </c>
      <c r="AH59" t="e">
        <f>AND(#REF!,"AAAAAFebHSE=")</f>
        <v>#REF!</v>
      </c>
      <c r="AI59" t="e">
        <f>AND(#REF!,"AAAAAFebHSI=")</f>
        <v>#REF!</v>
      </c>
      <c r="AJ59" t="e">
        <f>AND(#REF!,"AAAAAFebHSM=")</f>
        <v>#REF!</v>
      </c>
      <c r="AK59" t="e">
        <f>AND(#REF!,"AAAAAFebHSQ=")</f>
        <v>#REF!</v>
      </c>
      <c r="AL59" t="e">
        <f>AND(#REF!,"AAAAAFebHSU=")</f>
        <v>#REF!</v>
      </c>
      <c r="AM59" t="e">
        <f>AND(#REF!,"AAAAAFebHSY=")</f>
        <v>#REF!</v>
      </c>
      <c r="AN59" t="e">
        <f>AND(#REF!,"AAAAAFebHSc=")</f>
        <v>#REF!</v>
      </c>
      <c r="AO59" t="e">
        <f>AND(#REF!,"AAAAAFebHSg=")</f>
        <v>#REF!</v>
      </c>
      <c r="AP59" t="e">
        <f>AND(#REF!,"AAAAAFebHSk=")</f>
        <v>#REF!</v>
      </c>
      <c r="AQ59" t="e">
        <f>AND(#REF!,"AAAAAFebHSo=")</f>
        <v>#REF!</v>
      </c>
      <c r="AR59" t="e">
        <f>AND(#REF!,"AAAAAFebHSs=")</f>
        <v>#REF!</v>
      </c>
      <c r="AS59" t="e">
        <f>AND(#REF!,"AAAAAFebHSw=")</f>
        <v>#REF!</v>
      </c>
      <c r="AT59" t="e">
        <f>AND(#REF!,"AAAAAFebHS0=")</f>
        <v>#REF!</v>
      </c>
      <c r="AU59" t="e">
        <f>AND(#REF!,"AAAAAFebHS4=")</f>
        <v>#REF!</v>
      </c>
      <c r="AV59" t="e">
        <f>AND(#REF!,"AAAAAFebHS8=")</f>
        <v>#REF!</v>
      </c>
      <c r="AW59" t="e">
        <f>AND(#REF!,"AAAAAFebHTA=")</f>
        <v>#REF!</v>
      </c>
      <c r="AX59" t="e">
        <f>IF(#REF!,"AAAAAFebHTE=",0)</f>
        <v>#REF!</v>
      </c>
      <c r="AY59" t="e">
        <f>AND(#REF!,"AAAAAFebHTI=")</f>
        <v>#REF!</v>
      </c>
      <c r="AZ59" t="e">
        <f>AND(#REF!,"AAAAAFebHTM=")</f>
        <v>#REF!</v>
      </c>
      <c r="BA59" t="e">
        <f>AND(#REF!,"AAAAAFebHTQ=")</f>
        <v>#REF!</v>
      </c>
      <c r="BB59" t="e">
        <f>AND(#REF!,"AAAAAFebHTU=")</f>
        <v>#REF!</v>
      </c>
      <c r="BC59" t="e">
        <f>AND(#REF!,"AAAAAFebHTY=")</f>
        <v>#REF!</v>
      </c>
      <c r="BD59" t="e">
        <f>AND(#REF!,"AAAAAFebHTc=")</f>
        <v>#REF!</v>
      </c>
      <c r="BE59" t="e">
        <f>AND(#REF!,"AAAAAFebHTg=")</f>
        <v>#REF!</v>
      </c>
      <c r="BF59" t="e">
        <f>AND(#REF!,"AAAAAFebHTk=")</f>
        <v>#REF!</v>
      </c>
      <c r="BG59" t="e">
        <f>AND(#REF!,"AAAAAFebHTo=")</f>
        <v>#REF!</v>
      </c>
      <c r="BH59" t="e">
        <f>AND(#REF!,"AAAAAFebHTs=")</f>
        <v>#REF!</v>
      </c>
      <c r="BI59" t="e">
        <f>AND(#REF!,"AAAAAFebHTw=")</f>
        <v>#REF!</v>
      </c>
      <c r="BJ59" t="e">
        <f>AND(#REF!,"AAAAAFebHT0=")</f>
        <v>#REF!</v>
      </c>
      <c r="BK59" t="e">
        <f>AND(#REF!,"AAAAAFebHT4=")</f>
        <v>#REF!</v>
      </c>
      <c r="BL59" t="e">
        <f>AND(#REF!,"AAAAAFebHT8=")</f>
        <v>#REF!</v>
      </c>
      <c r="BM59" t="e">
        <f>AND(#REF!,"AAAAAFebHUA=")</f>
        <v>#REF!</v>
      </c>
      <c r="BN59" t="e">
        <f>AND(#REF!,"AAAAAFebHUE=")</f>
        <v>#REF!</v>
      </c>
      <c r="BO59" t="e">
        <f>AND(#REF!,"AAAAAFebHUI=")</f>
        <v>#REF!</v>
      </c>
      <c r="BP59" t="e">
        <f>AND(#REF!,"AAAAAFebHUM=")</f>
        <v>#REF!</v>
      </c>
      <c r="BQ59" t="e">
        <f>AND(#REF!,"AAAAAFebHUQ=")</f>
        <v>#REF!</v>
      </c>
      <c r="BR59" t="e">
        <f>AND(#REF!,"AAAAAFebHUU=")</f>
        <v>#REF!</v>
      </c>
      <c r="BS59" t="e">
        <f>AND(#REF!,"AAAAAFebHUY=")</f>
        <v>#REF!</v>
      </c>
      <c r="BT59" t="e">
        <f>AND(#REF!,"AAAAAFebHUc=")</f>
        <v>#REF!</v>
      </c>
      <c r="BU59" t="e">
        <f>AND(#REF!,"AAAAAFebHUg=")</f>
        <v>#REF!</v>
      </c>
      <c r="BV59" t="e">
        <f>IF(#REF!,"AAAAAFebHUk=",0)</f>
        <v>#REF!</v>
      </c>
      <c r="BW59" t="e">
        <f>AND(#REF!,"AAAAAFebHUo=")</f>
        <v>#REF!</v>
      </c>
      <c r="BX59" t="e">
        <f>AND(#REF!,"AAAAAFebHUs=")</f>
        <v>#REF!</v>
      </c>
      <c r="BY59" t="e">
        <f>AND(#REF!,"AAAAAFebHUw=")</f>
        <v>#REF!</v>
      </c>
      <c r="BZ59" t="e">
        <f>AND(#REF!,"AAAAAFebHU0=")</f>
        <v>#REF!</v>
      </c>
      <c r="CA59" t="e">
        <f>AND(#REF!,"AAAAAFebHU4=")</f>
        <v>#REF!</v>
      </c>
      <c r="CB59" t="e">
        <f>AND(#REF!,"AAAAAFebHU8=")</f>
        <v>#REF!</v>
      </c>
      <c r="CC59" t="e">
        <f>AND(#REF!,"AAAAAFebHVA=")</f>
        <v>#REF!</v>
      </c>
      <c r="CD59" t="e">
        <f>AND(#REF!,"AAAAAFebHVE=")</f>
        <v>#REF!</v>
      </c>
      <c r="CE59" t="e">
        <f>AND(#REF!,"AAAAAFebHVI=")</f>
        <v>#REF!</v>
      </c>
      <c r="CF59" t="e">
        <f>AND(#REF!,"AAAAAFebHVM=")</f>
        <v>#REF!</v>
      </c>
      <c r="CG59" t="e">
        <f>AND(#REF!,"AAAAAFebHVQ=")</f>
        <v>#REF!</v>
      </c>
      <c r="CH59" t="e">
        <f>AND(#REF!,"AAAAAFebHVU=")</f>
        <v>#REF!</v>
      </c>
      <c r="CI59" t="e">
        <f>AND(#REF!,"AAAAAFebHVY=")</f>
        <v>#REF!</v>
      </c>
      <c r="CJ59" t="e">
        <f>AND(#REF!,"AAAAAFebHVc=")</f>
        <v>#REF!</v>
      </c>
      <c r="CK59" t="e">
        <f>AND(#REF!,"AAAAAFebHVg=")</f>
        <v>#REF!</v>
      </c>
      <c r="CL59" t="e">
        <f>AND(#REF!,"AAAAAFebHVk=")</f>
        <v>#REF!</v>
      </c>
      <c r="CM59" t="e">
        <f>AND(#REF!,"AAAAAFebHVo=")</f>
        <v>#REF!</v>
      </c>
      <c r="CN59" t="e">
        <f>AND(#REF!,"AAAAAFebHVs=")</f>
        <v>#REF!</v>
      </c>
      <c r="CO59" t="e">
        <f>AND(#REF!,"AAAAAFebHVw=")</f>
        <v>#REF!</v>
      </c>
      <c r="CP59" t="e">
        <f>AND(#REF!,"AAAAAFebHV0=")</f>
        <v>#REF!</v>
      </c>
      <c r="CQ59" t="e">
        <f>AND(#REF!,"AAAAAFebHV4=")</f>
        <v>#REF!</v>
      </c>
      <c r="CR59" t="e">
        <f>AND(#REF!,"AAAAAFebHV8=")</f>
        <v>#REF!</v>
      </c>
      <c r="CS59" t="e">
        <f>AND(#REF!,"AAAAAFebHWA=")</f>
        <v>#REF!</v>
      </c>
      <c r="CT59" t="e">
        <f>IF(#REF!,"AAAAAFebHWE=",0)</f>
        <v>#REF!</v>
      </c>
      <c r="CU59" t="e">
        <f>AND(#REF!,"AAAAAFebHWI=")</f>
        <v>#REF!</v>
      </c>
      <c r="CV59" t="e">
        <f>AND(#REF!,"AAAAAFebHWM=")</f>
        <v>#REF!</v>
      </c>
      <c r="CW59" t="e">
        <f>AND(#REF!,"AAAAAFebHWQ=")</f>
        <v>#REF!</v>
      </c>
      <c r="CX59" t="e">
        <f>AND(#REF!,"AAAAAFebHWU=")</f>
        <v>#REF!</v>
      </c>
      <c r="CY59" t="e">
        <f>AND(#REF!,"AAAAAFebHWY=")</f>
        <v>#REF!</v>
      </c>
      <c r="CZ59" t="e">
        <f>AND(#REF!,"AAAAAFebHWc=")</f>
        <v>#REF!</v>
      </c>
      <c r="DA59" t="e">
        <f>AND(#REF!,"AAAAAFebHWg=")</f>
        <v>#REF!</v>
      </c>
      <c r="DB59" t="e">
        <f>AND(#REF!,"AAAAAFebHWk=")</f>
        <v>#REF!</v>
      </c>
      <c r="DC59" t="e">
        <f>AND(#REF!,"AAAAAFebHWo=")</f>
        <v>#REF!</v>
      </c>
      <c r="DD59" t="e">
        <f>AND(#REF!,"AAAAAFebHWs=")</f>
        <v>#REF!</v>
      </c>
      <c r="DE59" t="e">
        <f>AND(#REF!,"AAAAAFebHWw=")</f>
        <v>#REF!</v>
      </c>
      <c r="DF59" t="e">
        <f>AND(#REF!,"AAAAAFebHW0=")</f>
        <v>#REF!</v>
      </c>
      <c r="DG59" t="e">
        <f>AND(#REF!,"AAAAAFebHW4=")</f>
        <v>#REF!</v>
      </c>
      <c r="DH59" t="e">
        <f>AND(#REF!,"AAAAAFebHW8=")</f>
        <v>#REF!</v>
      </c>
      <c r="DI59" t="e">
        <f>AND(#REF!,"AAAAAFebHXA=")</f>
        <v>#REF!</v>
      </c>
      <c r="DJ59" t="e">
        <f>AND(#REF!,"AAAAAFebHXE=")</f>
        <v>#REF!</v>
      </c>
      <c r="DK59" t="e">
        <f>AND(#REF!,"AAAAAFebHXI=")</f>
        <v>#REF!</v>
      </c>
      <c r="DL59" t="e">
        <f>AND(#REF!,"AAAAAFebHXM=")</f>
        <v>#REF!</v>
      </c>
      <c r="DM59" t="e">
        <f>AND(#REF!,"AAAAAFebHXQ=")</f>
        <v>#REF!</v>
      </c>
      <c r="DN59" t="e">
        <f>AND(#REF!,"AAAAAFebHXU=")</f>
        <v>#REF!</v>
      </c>
      <c r="DO59" t="e">
        <f>AND(#REF!,"AAAAAFebHXY=")</f>
        <v>#REF!</v>
      </c>
      <c r="DP59" t="e">
        <f>AND(#REF!,"AAAAAFebHXc=")</f>
        <v>#REF!</v>
      </c>
      <c r="DQ59" t="e">
        <f>AND(#REF!,"AAAAAFebHXg=")</f>
        <v>#REF!</v>
      </c>
      <c r="DR59" t="e">
        <f>IF(#REF!,"AAAAAFebHXk=",0)</f>
        <v>#REF!</v>
      </c>
      <c r="DS59" t="e">
        <f>AND(#REF!,"AAAAAFebHXo=")</f>
        <v>#REF!</v>
      </c>
      <c r="DT59" t="e">
        <f>AND(#REF!,"AAAAAFebHXs=")</f>
        <v>#REF!</v>
      </c>
      <c r="DU59" t="e">
        <f>AND(#REF!,"AAAAAFebHXw=")</f>
        <v>#REF!</v>
      </c>
      <c r="DV59" t="e">
        <f>AND(#REF!,"AAAAAFebHX0=")</f>
        <v>#REF!</v>
      </c>
      <c r="DW59" t="e">
        <f>AND(#REF!,"AAAAAFebHX4=")</f>
        <v>#REF!</v>
      </c>
      <c r="DX59" t="e">
        <f>AND(#REF!,"AAAAAFebHX8=")</f>
        <v>#REF!</v>
      </c>
      <c r="DY59" t="e">
        <f>AND(#REF!,"AAAAAFebHYA=")</f>
        <v>#REF!</v>
      </c>
      <c r="DZ59" t="e">
        <f>AND(#REF!,"AAAAAFebHYE=")</f>
        <v>#REF!</v>
      </c>
      <c r="EA59" t="e">
        <f>AND(#REF!,"AAAAAFebHYI=")</f>
        <v>#REF!</v>
      </c>
      <c r="EB59" t="e">
        <f>AND(#REF!,"AAAAAFebHYM=")</f>
        <v>#REF!</v>
      </c>
      <c r="EC59" t="e">
        <f>AND(#REF!,"AAAAAFebHYQ=")</f>
        <v>#REF!</v>
      </c>
      <c r="ED59" t="e">
        <f>AND(#REF!,"AAAAAFebHYU=")</f>
        <v>#REF!</v>
      </c>
      <c r="EE59" t="e">
        <f>AND(#REF!,"AAAAAFebHYY=")</f>
        <v>#REF!</v>
      </c>
      <c r="EF59" t="e">
        <f>AND(#REF!,"AAAAAFebHYc=")</f>
        <v>#REF!</v>
      </c>
      <c r="EG59" t="e">
        <f>AND(#REF!,"AAAAAFebHYg=")</f>
        <v>#REF!</v>
      </c>
      <c r="EH59" t="e">
        <f>AND(#REF!,"AAAAAFebHYk=")</f>
        <v>#REF!</v>
      </c>
      <c r="EI59" t="e">
        <f>AND(#REF!,"AAAAAFebHYo=")</f>
        <v>#REF!</v>
      </c>
      <c r="EJ59" t="e">
        <f>AND(#REF!,"AAAAAFebHYs=")</f>
        <v>#REF!</v>
      </c>
      <c r="EK59" t="e">
        <f>AND(#REF!,"AAAAAFebHYw=")</f>
        <v>#REF!</v>
      </c>
      <c r="EL59" t="e">
        <f>AND(#REF!,"AAAAAFebHY0=")</f>
        <v>#REF!</v>
      </c>
      <c r="EM59" t="e">
        <f>AND(#REF!,"AAAAAFebHY4=")</f>
        <v>#REF!</v>
      </c>
      <c r="EN59" t="e">
        <f>AND(#REF!,"AAAAAFebHY8=")</f>
        <v>#REF!</v>
      </c>
      <c r="EO59" t="e">
        <f>AND(#REF!,"AAAAAFebHZA=")</f>
        <v>#REF!</v>
      </c>
      <c r="EP59" t="e">
        <f>IF(#REF!,"AAAAAFebHZE=",0)</f>
        <v>#REF!</v>
      </c>
      <c r="EQ59" t="e">
        <f>AND(#REF!,"AAAAAFebHZI=")</f>
        <v>#REF!</v>
      </c>
      <c r="ER59" t="e">
        <f>AND(#REF!,"AAAAAFebHZM=")</f>
        <v>#REF!</v>
      </c>
      <c r="ES59" t="e">
        <f>AND(#REF!,"AAAAAFebHZQ=")</f>
        <v>#REF!</v>
      </c>
      <c r="ET59" t="e">
        <f>AND(#REF!,"AAAAAFebHZU=")</f>
        <v>#REF!</v>
      </c>
      <c r="EU59" t="e">
        <f>AND(#REF!,"AAAAAFebHZY=")</f>
        <v>#REF!</v>
      </c>
      <c r="EV59" t="e">
        <f>AND(#REF!,"AAAAAFebHZc=")</f>
        <v>#REF!</v>
      </c>
      <c r="EW59" t="e">
        <f>AND(#REF!,"AAAAAFebHZg=")</f>
        <v>#REF!</v>
      </c>
      <c r="EX59" t="e">
        <f>AND(#REF!,"AAAAAFebHZk=")</f>
        <v>#REF!</v>
      </c>
      <c r="EY59" t="e">
        <f>AND(#REF!,"AAAAAFebHZo=")</f>
        <v>#REF!</v>
      </c>
      <c r="EZ59" t="e">
        <f>AND(#REF!,"AAAAAFebHZs=")</f>
        <v>#REF!</v>
      </c>
      <c r="FA59" t="e">
        <f>AND(#REF!,"AAAAAFebHZw=")</f>
        <v>#REF!</v>
      </c>
      <c r="FB59" t="e">
        <f>AND(#REF!,"AAAAAFebHZ0=")</f>
        <v>#REF!</v>
      </c>
      <c r="FC59" t="e">
        <f>AND(#REF!,"AAAAAFebHZ4=")</f>
        <v>#REF!</v>
      </c>
      <c r="FD59" t="e">
        <f>AND(#REF!,"AAAAAFebHZ8=")</f>
        <v>#REF!</v>
      </c>
      <c r="FE59" t="e">
        <f>AND(#REF!,"AAAAAFebHaA=")</f>
        <v>#REF!</v>
      </c>
      <c r="FF59" t="e">
        <f>AND(#REF!,"AAAAAFebHaE=")</f>
        <v>#REF!</v>
      </c>
      <c r="FG59" t="e">
        <f>AND(#REF!,"AAAAAFebHaI=")</f>
        <v>#REF!</v>
      </c>
      <c r="FH59" t="e">
        <f>AND(#REF!,"AAAAAFebHaM=")</f>
        <v>#REF!</v>
      </c>
      <c r="FI59" t="e">
        <f>AND(#REF!,"AAAAAFebHaQ=")</f>
        <v>#REF!</v>
      </c>
      <c r="FJ59" t="e">
        <f>AND(#REF!,"AAAAAFebHaU=")</f>
        <v>#REF!</v>
      </c>
      <c r="FK59" t="e">
        <f>AND(#REF!,"AAAAAFebHaY=")</f>
        <v>#REF!</v>
      </c>
      <c r="FL59" t="e">
        <f>AND(#REF!,"AAAAAFebHac=")</f>
        <v>#REF!</v>
      </c>
      <c r="FM59" t="e">
        <f>AND(#REF!,"AAAAAFebHag=")</f>
        <v>#REF!</v>
      </c>
      <c r="FN59" t="e">
        <f>IF(#REF!,"AAAAAFebHak=",0)</f>
        <v>#REF!</v>
      </c>
      <c r="FO59" t="e">
        <f>AND(#REF!,"AAAAAFebHao=")</f>
        <v>#REF!</v>
      </c>
      <c r="FP59" t="e">
        <f>AND(#REF!,"AAAAAFebHas=")</f>
        <v>#REF!</v>
      </c>
      <c r="FQ59" t="e">
        <f>AND(#REF!,"AAAAAFebHaw=")</f>
        <v>#REF!</v>
      </c>
      <c r="FR59" t="e">
        <f>AND(#REF!,"AAAAAFebHa0=")</f>
        <v>#REF!</v>
      </c>
      <c r="FS59" t="e">
        <f>AND(#REF!,"AAAAAFebHa4=")</f>
        <v>#REF!</v>
      </c>
      <c r="FT59" t="e">
        <f>AND(#REF!,"AAAAAFebHa8=")</f>
        <v>#REF!</v>
      </c>
      <c r="FU59" t="e">
        <f>AND(#REF!,"AAAAAFebHbA=")</f>
        <v>#REF!</v>
      </c>
      <c r="FV59" t="e">
        <f>AND(#REF!,"AAAAAFebHbE=")</f>
        <v>#REF!</v>
      </c>
      <c r="FW59" t="e">
        <f>AND(#REF!,"AAAAAFebHbI=")</f>
        <v>#REF!</v>
      </c>
      <c r="FX59" t="e">
        <f>AND(#REF!,"AAAAAFebHbM=")</f>
        <v>#REF!</v>
      </c>
      <c r="FY59" t="e">
        <f>AND(#REF!,"AAAAAFebHbQ=")</f>
        <v>#REF!</v>
      </c>
      <c r="FZ59" t="e">
        <f>AND(#REF!,"AAAAAFebHbU=")</f>
        <v>#REF!</v>
      </c>
      <c r="GA59" t="e">
        <f>AND(#REF!,"AAAAAFebHbY=")</f>
        <v>#REF!</v>
      </c>
      <c r="GB59" t="e">
        <f>AND(#REF!,"AAAAAFebHbc=")</f>
        <v>#REF!</v>
      </c>
      <c r="GC59" t="e">
        <f>AND(#REF!,"AAAAAFebHbg=")</f>
        <v>#REF!</v>
      </c>
      <c r="GD59" t="e">
        <f>AND(#REF!,"AAAAAFebHbk=")</f>
        <v>#REF!</v>
      </c>
      <c r="GE59" t="e">
        <f>AND(#REF!,"AAAAAFebHbo=")</f>
        <v>#REF!</v>
      </c>
      <c r="GF59" t="e">
        <f>AND(#REF!,"AAAAAFebHbs=")</f>
        <v>#REF!</v>
      </c>
      <c r="GG59" t="e">
        <f>AND(#REF!,"AAAAAFebHbw=")</f>
        <v>#REF!</v>
      </c>
      <c r="GH59" t="e">
        <f>AND(#REF!,"AAAAAFebHb0=")</f>
        <v>#REF!</v>
      </c>
      <c r="GI59" t="e">
        <f>AND(#REF!,"AAAAAFebHb4=")</f>
        <v>#REF!</v>
      </c>
      <c r="GJ59" t="e">
        <f>AND(#REF!,"AAAAAFebHb8=")</f>
        <v>#REF!</v>
      </c>
      <c r="GK59" t="e">
        <f>AND(#REF!,"AAAAAFebHcA=")</f>
        <v>#REF!</v>
      </c>
      <c r="GL59" t="e">
        <f>IF(#REF!,"AAAAAFebHcE=",0)</f>
        <v>#REF!</v>
      </c>
      <c r="GM59" t="e">
        <f>AND(#REF!,"AAAAAFebHcI=")</f>
        <v>#REF!</v>
      </c>
      <c r="GN59" t="e">
        <f>AND(#REF!,"AAAAAFebHcM=")</f>
        <v>#REF!</v>
      </c>
      <c r="GO59" t="e">
        <f>AND(#REF!,"AAAAAFebHcQ=")</f>
        <v>#REF!</v>
      </c>
      <c r="GP59" t="e">
        <f>AND(#REF!,"AAAAAFebHcU=")</f>
        <v>#REF!</v>
      </c>
      <c r="GQ59" t="e">
        <f>AND(#REF!,"AAAAAFebHcY=")</f>
        <v>#REF!</v>
      </c>
      <c r="GR59" t="e">
        <f>AND(#REF!,"AAAAAFebHcc=")</f>
        <v>#REF!</v>
      </c>
      <c r="GS59" t="e">
        <f>AND(#REF!,"AAAAAFebHcg=")</f>
        <v>#REF!</v>
      </c>
      <c r="GT59" t="e">
        <f>AND(#REF!,"AAAAAFebHck=")</f>
        <v>#REF!</v>
      </c>
      <c r="GU59" t="e">
        <f>AND(#REF!,"AAAAAFebHco=")</f>
        <v>#REF!</v>
      </c>
      <c r="GV59" t="e">
        <f>AND(#REF!,"AAAAAFebHcs=")</f>
        <v>#REF!</v>
      </c>
      <c r="GW59" t="e">
        <f>AND(#REF!,"AAAAAFebHcw=")</f>
        <v>#REF!</v>
      </c>
      <c r="GX59" t="e">
        <f>AND(#REF!,"AAAAAFebHc0=")</f>
        <v>#REF!</v>
      </c>
      <c r="GY59" t="e">
        <f>AND(#REF!,"AAAAAFebHc4=")</f>
        <v>#REF!</v>
      </c>
      <c r="GZ59" t="e">
        <f>AND(#REF!,"AAAAAFebHc8=")</f>
        <v>#REF!</v>
      </c>
      <c r="HA59" t="e">
        <f>AND(#REF!,"AAAAAFebHdA=")</f>
        <v>#REF!</v>
      </c>
      <c r="HB59" t="e">
        <f>AND(#REF!,"AAAAAFebHdE=")</f>
        <v>#REF!</v>
      </c>
      <c r="HC59" t="e">
        <f>AND(#REF!,"AAAAAFebHdI=")</f>
        <v>#REF!</v>
      </c>
      <c r="HD59" t="e">
        <f>AND(#REF!,"AAAAAFebHdM=")</f>
        <v>#REF!</v>
      </c>
      <c r="HE59" t="e">
        <f>AND(#REF!,"AAAAAFebHdQ=")</f>
        <v>#REF!</v>
      </c>
      <c r="HF59" t="e">
        <f>AND(#REF!,"AAAAAFebHdU=")</f>
        <v>#REF!</v>
      </c>
      <c r="HG59" t="e">
        <f>AND(#REF!,"AAAAAFebHdY=")</f>
        <v>#REF!</v>
      </c>
      <c r="HH59" t="e">
        <f>AND(#REF!,"AAAAAFebHdc=")</f>
        <v>#REF!</v>
      </c>
      <c r="HI59" t="e">
        <f>AND(#REF!,"AAAAAFebHdg=")</f>
        <v>#REF!</v>
      </c>
      <c r="HJ59" t="e">
        <f>IF(#REF!,"AAAAAFebHdk=",0)</f>
        <v>#REF!</v>
      </c>
      <c r="HK59" t="e">
        <f>AND(#REF!,"AAAAAFebHdo=")</f>
        <v>#REF!</v>
      </c>
      <c r="HL59" t="e">
        <f>AND(#REF!,"AAAAAFebHds=")</f>
        <v>#REF!</v>
      </c>
      <c r="HM59" t="e">
        <f>AND(#REF!,"AAAAAFebHdw=")</f>
        <v>#REF!</v>
      </c>
      <c r="HN59" t="e">
        <f>AND(#REF!,"AAAAAFebHd0=")</f>
        <v>#REF!</v>
      </c>
      <c r="HO59" t="e">
        <f>AND(#REF!,"AAAAAFebHd4=")</f>
        <v>#REF!</v>
      </c>
      <c r="HP59" t="e">
        <f>AND(#REF!,"AAAAAFebHd8=")</f>
        <v>#REF!</v>
      </c>
      <c r="HQ59" t="e">
        <f>AND(#REF!,"AAAAAFebHeA=")</f>
        <v>#REF!</v>
      </c>
      <c r="HR59" t="e">
        <f>AND(#REF!,"AAAAAFebHeE=")</f>
        <v>#REF!</v>
      </c>
      <c r="HS59" t="e">
        <f>AND(#REF!,"AAAAAFebHeI=")</f>
        <v>#REF!</v>
      </c>
      <c r="HT59" t="e">
        <f>AND(#REF!,"AAAAAFebHeM=")</f>
        <v>#REF!</v>
      </c>
      <c r="HU59" t="e">
        <f>AND(#REF!,"AAAAAFebHeQ=")</f>
        <v>#REF!</v>
      </c>
      <c r="HV59" t="e">
        <f>AND(#REF!,"AAAAAFebHeU=")</f>
        <v>#REF!</v>
      </c>
      <c r="HW59" t="e">
        <f>AND(#REF!,"AAAAAFebHeY=")</f>
        <v>#REF!</v>
      </c>
      <c r="HX59" t="e">
        <f>AND(#REF!,"AAAAAFebHec=")</f>
        <v>#REF!</v>
      </c>
      <c r="HY59" t="e">
        <f>AND(#REF!,"AAAAAFebHeg=")</f>
        <v>#REF!</v>
      </c>
      <c r="HZ59" t="e">
        <f>AND(#REF!,"AAAAAFebHek=")</f>
        <v>#REF!</v>
      </c>
      <c r="IA59" t="e">
        <f>AND(#REF!,"AAAAAFebHeo=")</f>
        <v>#REF!</v>
      </c>
      <c r="IB59" t="e">
        <f>AND(#REF!,"AAAAAFebHes=")</f>
        <v>#REF!</v>
      </c>
      <c r="IC59" t="e">
        <f>AND(#REF!,"AAAAAFebHew=")</f>
        <v>#REF!</v>
      </c>
      <c r="ID59" t="e">
        <f>AND(#REF!,"AAAAAFebHe0=")</f>
        <v>#REF!</v>
      </c>
      <c r="IE59" t="e">
        <f>AND(#REF!,"AAAAAFebHe4=")</f>
        <v>#REF!</v>
      </c>
      <c r="IF59" t="e">
        <f>AND(#REF!,"AAAAAFebHe8=")</f>
        <v>#REF!</v>
      </c>
      <c r="IG59" t="e">
        <f>AND(#REF!,"AAAAAFebHfA=")</f>
        <v>#REF!</v>
      </c>
      <c r="IH59" t="e">
        <f>IF(#REF!,"AAAAAFebHfE=",0)</f>
        <v>#REF!</v>
      </c>
      <c r="II59" t="e">
        <f>AND(#REF!,"AAAAAFebHfI=")</f>
        <v>#REF!</v>
      </c>
      <c r="IJ59" t="e">
        <f>AND(#REF!,"AAAAAFebHfM=")</f>
        <v>#REF!</v>
      </c>
      <c r="IK59" t="e">
        <f>AND(#REF!,"AAAAAFebHfQ=")</f>
        <v>#REF!</v>
      </c>
      <c r="IL59" t="e">
        <f>AND(#REF!,"AAAAAFebHfU=")</f>
        <v>#REF!</v>
      </c>
      <c r="IM59" t="e">
        <f>AND(#REF!,"AAAAAFebHfY=")</f>
        <v>#REF!</v>
      </c>
      <c r="IN59" t="e">
        <f>AND(#REF!,"AAAAAFebHfc=")</f>
        <v>#REF!</v>
      </c>
      <c r="IO59" t="e">
        <f>AND(#REF!,"AAAAAFebHfg=")</f>
        <v>#REF!</v>
      </c>
      <c r="IP59" t="e">
        <f>AND(#REF!,"AAAAAFebHfk=")</f>
        <v>#REF!</v>
      </c>
      <c r="IQ59" t="e">
        <f>AND(#REF!,"AAAAAFebHfo=")</f>
        <v>#REF!</v>
      </c>
      <c r="IR59" t="e">
        <f>AND(#REF!,"AAAAAFebHfs=")</f>
        <v>#REF!</v>
      </c>
      <c r="IS59" t="e">
        <f>AND(#REF!,"AAAAAFebHfw=")</f>
        <v>#REF!</v>
      </c>
      <c r="IT59" t="e">
        <f>AND(#REF!,"AAAAAFebHf0=")</f>
        <v>#REF!</v>
      </c>
      <c r="IU59" t="e">
        <f>AND(#REF!,"AAAAAFebHf4=")</f>
        <v>#REF!</v>
      </c>
      <c r="IV59" t="e">
        <f>AND(#REF!,"AAAAAFebHf8=")</f>
        <v>#REF!</v>
      </c>
    </row>
    <row r="60" spans="1:256" x14ac:dyDescent="0.25">
      <c r="A60" t="e">
        <f>AND(#REF!,"AAAAAH7/bwA=")</f>
        <v>#REF!</v>
      </c>
      <c r="B60" t="e">
        <f>AND(#REF!,"AAAAAH7/bwE=")</f>
        <v>#REF!</v>
      </c>
      <c r="C60" t="e">
        <f>AND(#REF!,"AAAAAH7/bwI=")</f>
        <v>#REF!</v>
      </c>
      <c r="D60" t="e">
        <f>AND(#REF!,"AAAAAH7/bwM=")</f>
        <v>#REF!</v>
      </c>
      <c r="E60" t="e">
        <f>AND(#REF!,"AAAAAH7/bwQ=")</f>
        <v>#REF!</v>
      </c>
      <c r="F60" t="e">
        <f>AND(#REF!,"AAAAAH7/bwU=")</f>
        <v>#REF!</v>
      </c>
      <c r="G60" t="e">
        <f>AND(#REF!,"AAAAAH7/bwY=")</f>
        <v>#REF!</v>
      </c>
      <c r="H60" t="e">
        <f>AND(#REF!,"AAAAAH7/bwc=")</f>
        <v>#REF!</v>
      </c>
      <c r="I60" t="e">
        <f>AND(#REF!,"AAAAAH7/bwg=")</f>
        <v>#REF!</v>
      </c>
      <c r="J60" t="e">
        <f>IF(#REF!,"AAAAAH7/bwk=",0)</f>
        <v>#REF!</v>
      </c>
      <c r="K60" t="e">
        <f>AND(#REF!,"AAAAAH7/bwo=")</f>
        <v>#REF!</v>
      </c>
      <c r="L60" t="e">
        <f>AND(#REF!,"AAAAAH7/bws=")</f>
        <v>#REF!</v>
      </c>
      <c r="M60" t="e">
        <f>AND(#REF!,"AAAAAH7/bww=")</f>
        <v>#REF!</v>
      </c>
      <c r="N60" t="e">
        <f>AND(#REF!,"AAAAAH7/bw0=")</f>
        <v>#REF!</v>
      </c>
      <c r="O60" t="e">
        <f>AND(#REF!,"AAAAAH7/bw4=")</f>
        <v>#REF!</v>
      </c>
      <c r="P60" t="e">
        <f>AND(#REF!,"AAAAAH7/bw8=")</f>
        <v>#REF!</v>
      </c>
      <c r="Q60" t="e">
        <f>AND(#REF!,"AAAAAH7/bxA=")</f>
        <v>#REF!</v>
      </c>
      <c r="R60" t="e">
        <f>AND(#REF!,"AAAAAH7/bxE=")</f>
        <v>#REF!</v>
      </c>
      <c r="S60" t="e">
        <f>AND(#REF!,"AAAAAH7/bxI=")</f>
        <v>#REF!</v>
      </c>
      <c r="T60" t="e">
        <f>AND(#REF!,"AAAAAH7/bxM=")</f>
        <v>#REF!</v>
      </c>
      <c r="U60" t="e">
        <f>AND(#REF!,"AAAAAH7/bxQ=")</f>
        <v>#REF!</v>
      </c>
      <c r="V60" t="e">
        <f>AND(#REF!,"AAAAAH7/bxU=")</f>
        <v>#REF!</v>
      </c>
      <c r="W60" t="e">
        <f>AND(#REF!,"AAAAAH7/bxY=")</f>
        <v>#REF!</v>
      </c>
      <c r="X60" t="e">
        <f>AND(#REF!,"AAAAAH7/bxc=")</f>
        <v>#REF!</v>
      </c>
      <c r="Y60" t="e">
        <f>AND(#REF!,"AAAAAH7/bxg=")</f>
        <v>#REF!</v>
      </c>
      <c r="Z60" t="e">
        <f>AND(#REF!,"AAAAAH7/bxk=")</f>
        <v>#REF!</v>
      </c>
      <c r="AA60" t="e">
        <f>AND(#REF!,"AAAAAH7/bxo=")</f>
        <v>#REF!</v>
      </c>
      <c r="AB60" t="e">
        <f>AND(#REF!,"AAAAAH7/bxs=")</f>
        <v>#REF!</v>
      </c>
      <c r="AC60" t="e">
        <f>AND(#REF!,"AAAAAH7/bxw=")</f>
        <v>#REF!</v>
      </c>
      <c r="AD60" t="e">
        <f>AND(#REF!,"AAAAAH7/bx0=")</f>
        <v>#REF!</v>
      </c>
      <c r="AE60" t="e">
        <f>AND(#REF!,"AAAAAH7/bx4=")</f>
        <v>#REF!</v>
      </c>
      <c r="AF60" t="e">
        <f>AND(#REF!,"AAAAAH7/bx8=")</f>
        <v>#REF!</v>
      </c>
      <c r="AG60" t="e">
        <f>AND(#REF!,"AAAAAH7/byA=")</f>
        <v>#REF!</v>
      </c>
      <c r="AH60" t="e">
        <f>IF(#REF!,"AAAAAH7/byE=",0)</f>
        <v>#REF!</v>
      </c>
      <c r="AI60" t="e">
        <f>AND(#REF!,"AAAAAH7/byI=")</f>
        <v>#REF!</v>
      </c>
      <c r="AJ60" t="e">
        <f>AND(#REF!,"AAAAAH7/byM=")</f>
        <v>#REF!</v>
      </c>
      <c r="AK60" t="e">
        <f>AND(#REF!,"AAAAAH7/byQ=")</f>
        <v>#REF!</v>
      </c>
      <c r="AL60" t="e">
        <f>AND(#REF!,"AAAAAH7/byU=")</f>
        <v>#REF!</v>
      </c>
      <c r="AM60" t="e">
        <f>AND(#REF!,"AAAAAH7/byY=")</f>
        <v>#REF!</v>
      </c>
      <c r="AN60" t="e">
        <f>AND(#REF!,"AAAAAH7/byc=")</f>
        <v>#REF!</v>
      </c>
      <c r="AO60" t="e">
        <f>AND(#REF!,"AAAAAH7/byg=")</f>
        <v>#REF!</v>
      </c>
      <c r="AP60" t="e">
        <f>AND(#REF!,"AAAAAH7/byk=")</f>
        <v>#REF!</v>
      </c>
      <c r="AQ60" t="e">
        <f>AND(#REF!,"AAAAAH7/byo=")</f>
        <v>#REF!</v>
      </c>
      <c r="AR60" t="e">
        <f>AND(#REF!,"AAAAAH7/bys=")</f>
        <v>#REF!</v>
      </c>
      <c r="AS60" t="e">
        <f>AND(#REF!,"AAAAAH7/byw=")</f>
        <v>#REF!</v>
      </c>
      <c r="AT60" t="e">
        <f>AND(#REF!,"AAAAAH7/by0=")</f>
        <v>#REF!</v>
      </c>
      <c r="AU60" t="e">
        <f>AND(#REF!,"AAAAAH7/by4=")</f>
        <v>#REF!</v>
      </c>
      <c r="AV60" t="e">
        <f>AND(#REF!,"AAAAAH7/by8=")</f>
        <v>#REF!</v>
      </c>
      <c r="AW60" t="e">
        <f>AND(#REF!,"AAAAAH7/bzA=")</f>
        <v>#REF!</v>
      </c>
      <c r="AX60" t="e">
        <f>AND(#REF!,"AAAAAH7/bzE=")</f>
        <v>#REF!</v>
      </c>
      <c r="AY60" t="e">
        <f>AND(#REF!,"AAAAAH7/bzI=")</f>
        <v>#REF!</v>
      </c>
      <c r="AZ60" t="e">
        <f>AND(#REF!,"AAAAAH7/bzM=")</f>
        <v>#REF!</v>
      </c>
      <c r="BA60" t="e">
        <f>AND(#REF!,"AAAAAH7/bzQ=")</f>
        <v>#REF!</v>
      </c>
      <c r="BB60" t="e">
        <f>AND(#REF!,"AAAAAH7/bzU=")</f>
        <v>#REF!</v>
      </c>
      <c r="BC60" t="e">
        <f>AND(#REF!,"AAAAAH7/bzY=")</f>
        <v>#REF!</v>
      </c>
      <c r="BD60" t="e">
        <f>AND(#REF!,"AAAAAH7/bzc=")</f>
        <v>#REF!</v>
      </c>
      <c r="BE60" t="e">
        <f>AND(#REF!,"AAAAAH7/bzg=")</f>
        <v>#REF!</v>
      </c>
      <c r="BF60" t="e">
        <f>IF(#REF!,"AAAAAH7/bzk=",0)</f>
        <v>#REF!</v>
      </c>
      <c r="BG60" t="e">
        <f>AND(#REF!,"AAAAAH7/bzo=")</f>
        <v>#REF!</v>
      </c>
      <c r="BH60" t="e">
        <f>AND(#REF!,"AAAAAH7/bzs=")</f>
        <v>#REF!</v>
      </c>
      <c r="BI60" t="e">
        <f>AND(#REF!,"AAAAAH7/bzw=")</f>
        <v>#REF!</v>
      </c>
      <c r="BJ60" t="e">
        <f>AND(#REF!,"AAAAAH7/bz0=")</f>
        <v>#REF!</v>
      </c>
      <c r="BK60" t="e">
        <f>AND(#REF!,"AAAAAH7/bz4=")</f>
        <v>#REF!</v>
      </c>
      <c r="BL60" t="e">
        <f>AND(#REF!,"AAAAAH7/bz8=")</f>
        <v>#REF!</v>
      </c>
      <c r="BM60" t="e">
        <f>AND(#REF!,"AAAAAH7/b0A=")</f>
        <v>#REF!</v>
      </c>
      <c r="BN60" t="e">
        <f>AND(#REF!,"AAAAAH7/b0E=")</f>
        <v>#REF!</v>
      </c>
      <c r="BO60" t="e">
        <f>AND(#REF!,"AAAAAH7/b0I=")</f>
        <v>#REF!</v>
      </c>
      <c r="BP60" t="e">
        <f>AND(#REF!,"AAAAAH7/b0M=")</f>
        <v>#REF!</v>
      </c>
      <c r="BQ60" t="e">
        <f>AND(#REF!,"AAAAAH7/b0Q=")</f>
        <v>#REF!</v>
      </c>
      <c r="BR60" t="e">
        <f>AND(#REF!,"AAAAAH7/b0U=")</f>
        <v>#REF!</v>
      </c>
      <c r="BS60" t="e">
        <f>AND(#REF!,"AAAAAH7/b0Y=")</f>
        <v>#REF!</v>
      </c>
      <c r="BT60" t="e">
        <f>AND(#REF!,"AAAAAH7/b0c=")</f>
        <v>#REF!</v>
      </c>
      <c r="BU60" t="e">
        <f>AND(#REF!,"AAAAAH7/b0g=")</f>
        <v>#REF!</v>
      </c>
      <c r="BV60" t="e">
        <f>AND(#REF!,"AAAAAH7/b0k=")</f>
        <v>#REF!</v>
      </c>
      <c r="BW60" t="e">
        <f>AND(#REF!,"AAAAAH7/b0o=")</f>
        <v>#REF!</v>
      </c>
      <c r="BX60" t="e">
        <f>AND(#REF!,"AAAAAH7/b0s=")</f>
        <v>#REF!</v>
      </c>
      <c r="BY60" t="e">
        <f>AND(#REF!,"AAAAAH7/b0w=")</f>
        <v>#REF!</v>
      </c>
      <c r="BZ60" t="e">
        <f>AND(#REF!,"AAAAAH7/b00=")</f>
        <v>#REF!</v>
      </c>
      <c r="CA60" t="e">
        <f>AND(#REF!,"AAAAAH7/b04=")</f>
        <v>#REF!</v>
      </c>
      <c r="CB60" t="e">
        <f>AND(#REF!,"AAAAAH7/b08=")</f>
        <v>#REF!</v>
      </c>
      <c r="CC60" t="e">
        <f>AND(#REF!,"AAAAAH7/b1A=")</f>
        <v>#REF!</v>
      </c>
      <c r="CD60" t="e">
        <f>IF(#REF!,"AAAAAH7/b1E=",0)</f>
        <v>#REF!</v>
      </c>
      <c r="CE60" t="e">
        <f>AND(#REF!,"AAAAAH7/b1I=")</f>
        <v>#REF!</v>
      </c>
      <c r="CF60" t="e">
        <f>AND(#REF!,"AAAAAH7/b1M=")</f>
        <v>#REF!</v>
      </c>
      <c r="CG60" t="e">
        <f>AND(#REF!,"AAAAAH7/b1Q=")</f>
        <v>#REF!</v>
      </c>
      <c r="CH60" t="e">
        <f>AND(#REF!,"AAAAAH7/b1U=")</f>
        <v>#REF!</v>
      </c>
      <c r="CI60" t="e">
        <f>AND(#REF!,"AAAAAH7/b1Y=")</f>
        <v>#REF!</v>
      </c>
      <c r="CJ60" t="e">
        <f>AND(#REF!,"AAAAAH7/b1c=")</f>
        <v>#REF!</v>
      </c>
      <c r="CK60" t="e">
        <f>AND(#REF!,"AAAAAH7/b1g=")</f>
        <v>#REF!</v>
      </c>
      <c r="CL60" t="e">
        <f>AND(#REF!,"AAAAAH7/b1k=")</f>
        <v>#REF!</v>
      </c>
      <c r="CM60" t="e">
        <f>AND(#REF!,"AAAAAH7/b1o=")</f>
        <v>#REF!</v>
      </c>
      <c r="CN60" t="e">
        <f>AND(#REF!,"AAAAAH7/b1s=")</f>
        <v>#REF!</v>
      </c>
      <c r="CO60" t="e">
        <f>AND(#REF!,"AAAAAH7/b1w=")</f>
        <v>#REF!</v>
      </c>
      <c r="CP60" t="e">
        <f>AND(#REF!,"AAAAAH7/b10=")</f>
        <v>#REF!</v>
      </c>
      <c r="CQ60" t="e">
        <f>AND(#REF!,"AAAAAH7/b14=")</f>
        <v>#REF!</v>
      </c>
      <c r="CR60" t="e">
        <f>AND(#REF!,"AAAAAH7/b18=")</f>
        <v>#REF!</v>
      </c>
      <c r="CS60" t="e">
        <f>AND(#REF!,"AAAAAH7/b2A=")</f>
        <v>#REF!</v>
      </c>
      <c r="CT60" t="e">
        <f>AND(#REF!,"AAAAAH7/b2E=")</f>
        <v>#REF!</v>
      </c>
      <c r="CU60" t="e">
        <f>AND(#REF!,"AAAAAH7/b2I=")</f>
        <v>#REF!</v>
      </c>
      <c r="CV60" t="e">
        <f>AND(#REF!,"AAAAAH7/b2M=")</f>
        <v>#REF!</v>
      </c>
      <c r="CW60" t="e">
        <f>AND(#REF!,"AAAAAH7/b2Q=")</f>
        <v>#REF!</v>
      </c>
      <c r="CX60" t="e">
        <f>AND(#REF!,"AAAAAH7/b2U=")</f>
        <v>#REF!</v>
      </c>
      <c r="CY60" t="e">
        <f>AND(#REF!,"AAAAAH7/b2Y=")</f>
        <v>#REF!</v>
      </c>
      <c r="CZ60" t="e">
        <f>AND(#REF!,"AAAAAH7/b2c=")</f>
        <v>#REF!</v>
      </c>
      <c r="DA60" t="e">
        <f>AND(#REF!,"AAAAAH7/b2g=")</f>
        <v>#REF!</v>
      </c>
      <c r="DB60" t="e">
        <f>IF(#REF!,"AAAAAH7/b2k=",0)</f>
        <v>#REF!</v>
      </c>
      <c r="DC60" t="e">
        <f>AND(#REF!,"AAAAAH7/b2o=")</f>
        <v>#REF!</v>
      </c>
      <c r="DD60" t="e">
        <f>AND(#REF!,"AAAAAH7/b2s=")</f>
        <v>#REF!</v>
      </c>
      <c r="DE60" t="e">
        <f>AND(#REF!,"AAAAAH7/b2w=")</f>
        <v>#REF!</v>
      </c>
      <c r="DF60" t="e">
        <f>AND(#REF!,"AAAAAH7/b20=")</f>
        <v>#REF!</v>
      </c>
      <c r="DG60" t="e">
        <f>AND(#REF!,"AAAAAH7/b24=")</f>
        <v>#REF!</v>
      </c>
      <c r="DH60" t="e">
        <f>AND(#REF!,"AAAAAH7/b28=")</f>
        <v>#REF!</v>
      </c>
      <c r="DI60" t="e">
        <f>AND(#REF!,"AAAAAH7/b3A=")</f>
        <v>#REF!</v>
      </c>
      <c r="DJ60" t="e">
        <f>AND(#REF!,"AAAAAH7/b3E=")</f>
        <v>#REF!</v>
      </c>
      <c r="DK60" t="e">
        <f>AND(#REF!,"AAAAAH7/b3I=")</f>
        <v>#REF!</v>
      </c>
      <c r="DL60" t="e">
        <f>AND(#REF!,"AAAAAH7/b3M=")</f>
        <v>#REF!</v>
      </c>
      <c r="DM60" t="e">
        <f>AND(#REF!,"AAAAAH7/b3Q=")</f>
        <v>#REF!</v>
      </c>
      <c r="DN60" t="e">
        <f>AND(#REF!,"AAAAAH7/b3U=")</f>
        <v>#REF!</v>
      </c>
      <c r="DO60" t="e">
        <f>AND(#REF!,"AAAAAH7/b3Y=")</f>
        <v>#REF!</v>
      </c>
      <c r="DP60" t="e">
        <f>AND(#REF!,"AAAAAH7/b3c=")</f>
        <v>#REF!</v>
      </c>
      <c r="DQ60" t="e">
        <f>AND(#REF!,"AAAAAH7/b3g=")</f>
        <v>#REF!</v>
      </c>
      <c r="DR60" t="e">
        <f>AND(#REF!,"AAAAAH7/b3k=")</f>
        <v>#REF!</v>
      </c>
      <c r="DS60" t="e">
        <f>AND(#REF!,"AAAAAH7/b3o=")</f>
        <v>#REF!</v>
      </c>
      <c r="DT60" t="e">
        <f>AND(#REF!,"AAAAAH7/b3s=")</f>
        <v>#REF!</v>
      </c>
      <c r="DU60" t="e">
        <f>AND(#REF!,"AAAAAH7/b3w=")</f>
        <v>#REF!</v>
      </c>
      <c r="DV60" t="e">
        <f>AND(#REF!,"AAAAAH7/b30=")</f>
        <v>#REF!</v>
      </c>
      <c r="DW60" t="e">
        <f>AND(#REF!,"AAAAAH7/b34=")</f>
        <v>#REF!</v>
      </c>
      <c r="DX60" t="e">
        <f>AND(#REF!,"AAAAAH7/b38=")</f>
        <v>#REF!</v>
      </c>
      <c r="DY60" t="e">
        <f>AND(#REF!,"AAAAAH7/b4A=")</f>
        <v>#REF!</v>
      </c>
      <c r="DZ60" t="e">
        <f>IF(#REF!,"AAAAAH7/b4E=",0)</f>
        <v>#REF!</v>
      </c>
      <c r="EA60" t="e">
        <f>AND(#REF!,"AAAAAH7/b4I=")</f>
        <v>#REF!</v>
      </c>
      <c r="EB60" t="e">
        <f>AND(#REF!,"AAAAAH7/b4M=")</f>
        <v>#REF!</v>
      </c>
      <c r="EC60" t="e">
        <f>AND(#REF!,"AAAAAH7/b4Q=")</f>
        <v>#REF!</v>
      </c>
      <c r="ED60" t="e">
        <f>AND(#REF!,"AAAAAH7/b4U=")</f>
        <v>#REF!</v>
      </c>
      <c r="EE60" t="e">
        <f>AND(#REF!,"AAAAAH7/b4Y=")</f>
        <v>#REF!</v>
      </c>
      <c r="EF60" t="e">
        <f>AND(#REF!,"AAAAAH7/b4c=")</f>
        <v>#REF!</v>
      </c>
      <c r="EG60" t="e">
        <f>AND(#REF!,"AAAAAH7/b4g=")</f>
        <v>#REF!</v>
      </c>
      <c r="EH60" t="e">
        <f>AND(#REF!,"AAAAAH7/b4k=")</f>
        <v>#REF!</v>
      </c>
      <c r="EI60" t="e">
        <f>AND(#REF!,"AAAAAH7/b4o=")</f>
        <v>#REF!</v>
      </c>
      <c r="EJ60" t="e">
        <f>AND(#REF!,"AAAAAH7/b4s=")</f>
        <v>#REF!</v>
      </c>
      <c r="EK60" t="e">
        <f>AND(#REF!,"AAAAAH7/b4w=")</f>
        <v>#REF!</v>
      </c>
      <c r="EL60" t="e">
        <f>AND(#REF!,"AAAAAH7/b40=")</f>
        <v>#REF!</v>
      </c>
      <c r="EM60" t="e">
        <f>AND(#REF!,"AAAAAH7/b44=")</f>
        <v>#REF!</v>
      </c>
      <c r="EN60" t="e">
        <f>AND(#REF!,"AAAAAH7/b48=")</f>
        <v>#REF!</v>
      </c>
      <c r="EO60" t="e">
        <f>AND(#REF!,"AAAAAH7/b5A=")</f>
        <v>#REF!</v>
      </c>
      <c r="EP60" t="e">
        <f>AND(#REF!,"AAAAAH7/b5E=")</f>
        <v>#REF!</v>
      </c>
      <c r="EQ60" t="e">
        <f>AND(#REF!,"AAAAAH7/b5I=")</f>
        <v>#REF!</v>
      </c>
      <c r="ER60" t="e">
        <f>AND(#REF!,"AAAAAH7/b5M=")</f>
        <v>#REF!</v>
      </c>
      <c r="ES60" t="e">
        <f>AND(#REF!,"AAAAAH7/b5Q=")</f>
        <v>#REF!</v>
      </c>
      <c r="ET60" t="e">
        <f>AND(#REF!,"AAAAAH7/b5U=")</f>
        <v>#REF!</v>
      </c>
      <c r="EU60" t="e">
        <f>AND(#REF!,"AAAAAH7/b5Y=")</f>
        <v>#REF!</v>
      </c>
      <c r="EV60" t="e">
        <f>AND(#REF!,"AAAAAH7/b5c=")</f>
        <v>#REF!</v>
      </c>
      <c r="EW60" t="e">
        <f>AND(#REF!,"AAAAAH7/b5g=")</f>
        <v>#REF!</v>
      </c>
      <c r="EX60" t="e">
        <f>IF(#REF!,"AAAAAH7/b5k=",0)</f>
        <v>#REF!</v>
      </c>
      <c r="EY60" t="e">
        <f>AND(#REF!,"AAAAAH7/b5o=")</f>
        <v>#REF!</v>
      </c>
      <c r="EZ60" t="e">
        <f>AND(#REF!,"AAAAAH7/b5s=")</f>
        <v>#REF!</v>
      </c>
      <c r="FA60" t="e">
        <f>AND(#REF!,"AAAAAH7/b5w=")</f>
        <v>#REF!</v>
      </c>
      <c r="FB60" t="e">
        <f>AND(#REF!,"AAAAAH7/b50=")</f>
        <v>#REF!</v>
      </c>
      <c r="FC60" t="e">
        <f>AND(#REF!,"AAAAAH7/b54=")</f>
        <v>#REF!</v>
      </c>
      <c r="FD60" t="e">
        <f>AND(#REF!,"AAAAAH7/b58=")</f>
        <v>#REF!</v>
      </c>
      <c r="FE60" t="e">
        <f>AND(#REF!,"AAAAAH7/b6A=")</f>
        <v>#REF!</v>
      </c>
      <c r="FF60" t="e">
        <f>AND(#REF!,"AAAAAH7/b6E=")</f>
        <v>#REF!</v>
      </c>
      <c r="FG60" t="e">
        <f>AND(#REF!,"AAAAAH7/b6I=")</f>
        <v>#REF!</v>
      </c>
      <c r="FH60" t="e">
        <f>AND(#REF!,"AAAAAH7/b6M=")</f>
        <v>#REF!</v>
      </c>
      <c r="FI60" t="e">
        <f>AND(#REF!,"AAAAAH7/b6Q=")</f>
        <v>#REF!</v>
      </c>
      <c r="FJ60" t="e">
        <f>AND(#REF!,"AAAAAH7/b6U=")</f>
        <v>#REF!</v>
      </c>
      <c r="FK60" t="e">
        <f>AND(#REF!,"AAAAAH7/b6Y=")</f>
        <v>#REF!</v>
      </c>
      <c r="FL60" t="e">
        <f>AND(#REF!,"AAAAAH7/b6c=")</f>
        <v>#REF!</v>
      </c>
      <c r="FM60" t="e">
        <f>AND(#REF!,"AAAAAH7/b6g=")</f>
        <v>#REF!</v>
      </c>
      <c r="FN60" t="e">
        <f>AND(#REF!,"AAAAAH7/b6k=")</f>
        <v>#REF!</v>
      </c>
      <c r="FO60" t="e">
        <f>AND(#REF!,"AAAAAH7/b6o=")</f>
        <v>#REF!</v>
      </c>
      <c r="FP60" t="e">
        <f>AND(#REF!,"AAAAAH7/b6s=")</f>
        <v>#REF!</v>
      </c>
      <c r="FQ60" t="e">
        <f>AND(#REF!,"AAAAAH7/b6w=")</f>
        <v>#REF!</v>
      </c>
      <c r="FR60" t="e">
        <f>AND(#REF!,"AAAAAH7/b60=")</f>
        <v>#REF!</v>
      </c>
      <c r="FS60" t="e">
        <f>AND(#REF!,"AAAAAH7/b64=")</f>
        <v>#REF!</v>
      </c>
      <c r="FT60" t="e">
        <f>AND(#REF!,"AAAAAH7/b68=")</f>
        <v>#REF!</v>
      </c>
      <c r="FU60" t="e">
        <f>AND(#REF!,"AAAAAH7/b7A=")</f>
        <v>#REF!</v>
      </c>
      <c r="FV60" t="e">
        <f>IF(#REF!,"AAAAAH7/b7E=",0)</f>
        <v>#REF!</v>
      </c>
      <c r="FW60" t="e">
        <f>AND(#REF!,"AAAAAH7/b7I=")</f>
        <v>#REF!</v>
      </c>
      <c r="FX60" t="e">
        <f>AND(#REF!,"AAAAAH7/b7M=")</f>
        <v>#REF!</v>
      </c>
      <c r="FY60" t="e">
        <f>AND(#REF!,"AAAAAH7/b7Q=")</f>
        <v>#REF!</v>
      </c>
      <c r="FZ60" t="e">
        <f>AND(#REF!,"AAAAAH7/b7U=")</f>
        <v>#REF!</v>
      </c>
      <c r="GA60" t="e">
        <f>AND(#REF!,"AAAAAH7/b7Y=")</f>
        <v>#REF!</v>
      </c>
      <c r="GB60" t="e">
        <f>AND(#REF!,"AAAAAH7/b7c=")</f>
        <v>#REF!</v>
      </c>
      <c r="GC60" t="e">
        <f>AND(#REF!,"AAAAAH7/b7g=")</f>
        <v>#REF!</v>
      </c>
      <c r="GD60" t="e">
        <f>AND(#REF!,"AAAAAH7/b7k=")</f>
        <v>#REF!</v>
      </c>
      <c r="GE60" t="e">
        <f>AND(#REF!,"AAAAAH7/b7o=")</f>
        <v>#REF!</v>
      </c>
      <c r="GF60" t="e">
        <f>AND(#REF!,"AAAAAH7/b7s=")</f>
        <v>#REF!</v>
      </c>
      <c r="GG60" t="e">
        <f>AND(#REF!,"AAAAAH7/b7w=")</f>
        <v>#REF!</v>
      </c>
      <c r="GH60" t="e">
        <f>AND(#REF!,"AAAAAH7/b70=")</f>
        <v>#REF!</v>
      </c>
      <c r="GI60" t="e">
        <f>AND(#REF!,"AAAAAH7/b74=")</f>
        <v>#REF!</v>
      </c>
      <c r="GJ60" t="e">
        <f>AND(#REF!,"AAAAAH7/b78=")</f>
        <v>#REF!</v>
      </c>
      <c r="GK60" t="e">
        <f>AND(#REF!,"AAAAAH7/b8A=")</f>
        <v>#REF!</v>
      </c>
      <c r="GL60" t="e">
        <f>AND(#REF!,"AAAAAH7/b8E=")</f>
        <v>#REF!</v>
      </c>
      <c r="GM60" t="e">
        <f>AND(#REF!,"AAAAAH7/b8I=")</f>
        <v>#REF!</v>
      </c>
      <c r="GN60" t="e">
        <f>AND(#REF!,"AAAAAH7/b8M=")</f>
        <v>#REF!</v>
      </c>
      <c r="GO60" t="e">
        <f>AND(#REF!,"AAAAAH7/b8Q=")</f>
        <v>#REF!</v>
      </c>
      <c r="GP60" t="e">
        <f>AND(#REF!,"AAAAAH7/b8U=")</f>
        <v>#REF!</v>
      </c>
      <c r="GQ60" t="e">
        <f>AND(#REF!,"AAAAAH7/b8Y=")</f>
        <v>#REF!</v>
      </c>
      <c r="GR60" t="e">
        <f>AND(#REF!,"AAAAAH7/b8c=")</f>
        <v>#REF!</v>
      </c>
      <c r="GS60" t="e">
        <f>AND(#REF!,"AAAAAH7/b8g=")</f>
        <v>#REF!</v>
      </c>
      <c r="GT60" t="e">
        <f>IF(#REF!,"AAAAAH7/b8k=",0)</f>
        <v>#REF!</v>
      </c>
      <c r="GU60" t="e">
        <f>AND(#REF!,"AAAAAH7/b8o=")</f>
        <v>#REF!</v>
      </c>
      <c r="GV60" t="e">
        <f>AND(#REF!,"AAAAAH7/b8s=")</f>
        <v>#REF!</v>
      </c>
      <c r="GW60" t="e">
        <f>AND(#REF!,"AAAAAH7/b8w=")</f>
        <v>#REF!</v>
      </c>
      <c r="GX60" t="e">
        <f>AND(#REF!,"AAAAAH7/b80=")</f>
        <v>#REF!</v>
      </c>
      <c r="GY60" t="e">
        <f>AND(#REF!,"AAAAAH7/b84=")</f>
        <v>#REF!</v>
      </c>
      <c r="GZ60" t="e">
        <f>AND(#REF!,"AAAAAH7/b88=")</f>
        <v>#REF!</v>
      </c>
      <c r="HA60" t="e">
        <f>AND(#REF!,"AAAAAH7/b9A=")</f>
        <v>#REF!</v>
      </c>
      <c r="HB60" t="e">
        <f>AND(#REF!,"AAAAAH7/b9E=")</f>
        <v>#REF!</v>
      </c>
      <c r="HC60" t="e">
        <f>AND(#REF!,"AAAAAH7/b9I=")</f>
        <v>#REF!</v>
      </c>
      <c r="HD60" t="e">
        <f>AND(#REF!,"AAAAAH7/b9M=")</f>
        <v>#REF!</v>
      </c>
      <c r="HE60" t="e">
        <f>AND(#REF!,"AAAAAH7/b9Q=")</f>
        <v>#REF!</v>
      </c>
      <c r="HF60" t="e">
        <f>AND(#REF!,"AAAAAH7/b9U=")</f>
        <v>#REF!</v>
      </c>
      <c r="HG60" t="e">
        <f>AND(#REF!,"AAAAAH7/b9Y=")</f>
        <v>#REF!</v>
      </c>
      <c r="HH60" t="e">
        <f>AND(#REF!,"AAAAAH7/b9c=")</f>
        <v>#REF!</v>
      </c>
      <c r="HI60" t="e">
        <f>AND(#REF!,"AAAAAH7/b9g=")</f>
        <v>#REF!</v>
      </c>
      <c r="HJ60" t="e">
        <f>AND(#REF!,"AAAAAH7/b9k=")</f>
        <v>#REF!</v>
      </c>
      <c r="HK60" t="e">
        <f>AND(#REF!,"AAAAAH7/b9o=")</f>
        <v>#REF!</v>
      </c>
      <c r="HL60" t="e">
        <f>AND(#REF!,"AAAAAH7/b9s=")</f>
        <v>#REF!</v>
      </c>
      <c r="HM60" t="e">
        <f>AND(#REF!,"AAAAAH7/b9w=")</f>
        <v>#REF!</v>
      </c>
      <c r="HN60" t="e">
        <f>AND(#REF!,"AAAAAH7/b90=")</f>
        <v>#REF!</v>
      </c>
      <c r="HO60" t="e">
        <f>AND(#REF!,"AAAAAH7/b94=")</f>
        <v>#REF!</v>
      </c>
      <c r="HP60" t="e">
        <f>AND(#REF!,"AAAAAH7/b98=")</f>
        <v>#REF!</v>
      </c>
      <c r="HQ60" t="e">
        <f>AND(#REF!,"AAAAAH7/b+A=")</f>
        <v>#REF!</v>
      </c>
      <c r="HR60" t="e">
        <f>IF(#REF!,"AAAAAH7/b+E=",0)</f>
        <v>#REF!</v>
      </c>
      <c r="HS60" t="e">
        <f>AND(#REF!,"AAAAAH7/b+I=")</f>
        <v>#REF!</v>
      </c>
      <c r="HT60" t="e">
        <f>AND(#REF!,"AAAAAH7/b+M=")</f>
        <v>#REF!</v>
      </c>
      <c r="HU60" t="e">
        <f>AND(#REF!,"AAAAAH7/b+Q=")</f>
        <v>#REF!</v>
      </c>
      <c r="HV60" t="e">
        <f>AND(#REF!,"AAAAAH7/b+U=")</f>
        <v>#REF!</v>
      </c>
      <c r="HW60" t="e">
        <f>AND(#REF!,"AAAAAH7/b+Y=")</f>
        <v>#REF!</v>
      </c>
      <c r="HX60" t="e">
        <f>AND(#REF!,"AAAAAH7/b+c=")</f>
        <v>#REF!</v>
      </c>
      <c r="HY60" t="e">
        <f>AND(#REF!,"AAAAAH7/b+g=")</f>
        <v>#REF!</v>
      </c>
      <c r="HZ60" t="e">
        <f>AND(#REF!,"AAAAAH7/b+k=")</f>
        <v>#REF!</v>
      </c>
      <c r="IA60" t="e">
        <f>AND(#REF!,"AAAAAH7/b+o=")</f>
        <v>#REF!</v>
      </c>
      <c r="IB60" t="e">
        <f>AND(#REF!,"AAAAAH7/b+s=")</f>
        <v>#REF!</v>
      </c>
      <c r="IC60" t="e">
        <f>AND(#REF!,"AAAAAH7/b+w=")</f>
        <v>#REF!</v>
      </c>
      <c r="ID60" t="e">
        <f>AND(#REF!,"AAAAAH7/b+0=")</f>
        <v>#REF!</v>
      </c>
      <c r="IE60" t="e">
        <f>AND(#REF!,"AAAAAH7/b+4=")</f>
        <v>#REF!</v>
      </c>
      <c r="IF60" t="e">
        <f>AND(#REF!,"AAAAAH7/b+8=")</f>
        <v>#REF!</v>
      </c>
      <c r="IG60" t="e">
        <f>AND(#REF!,"AAAAAH7/b/A=")</f>
        <v>#REF!</v>
      </c>
      <c r="IH60" t="e">
        <f>AND(#REF!,"AAAAAH7/b/E=")</f>
        <v>#REF!</v>
      </c>
      <c r="II60" t="e">
        <f>AND(#REF!,"AAAAAH7/b/I=")</f>
        <v>#REF!</v>
      </c>
      <c r="IJ60" t="e">
        <f>AND(#REF!,"AAAAAH7/b/M=")</f>
        <v>#REF!</v>
      </c>
      <c r="IK60" t="e">
        <f>AND(#REF!,"AAAAAH7/b/Q=")</f>
        <v>#REF!</v>
      </c>
      <c r="IL60" t="e">
        <f>AND(#REF!,"AAAAAH7/b/U=")</f>
        <v>#REF!</v>
      </c>
      <c r="IM60" t="e">
        <f>AND(#REF!,"AAAAAH7/b/Y=")</f>
        <v>#REF!</v>
      </c>
      <c r="IN60" t="e">
        <f>AND(#REF!,"AAAAAH7/b/c=")</f>
        <v>#REF!</v>
      </c>
      <c r="IO60" t="e">
        <f>AND(#REF!,"AAAAAH7/b/g=")</f>
        <v>#REF!</v>
      </c>
      <c r="IP60" t="e">
        <f>IF(#REF!,"AAAAAH7/b/k=",0)</f>
        <v>#REF!</v>
      </c>
      <c r="IQ60" t="e">
        <f>AND(#REF!,"AAAAAH7/b/o=")</f>
        <v>#REF!</v>
      </c>
      <c r="IR60" t="e">
        <f>AND(#REF!,"AAAAAH7/b/s=")</f>
        <v>#REF!</v>
      </c>
      <c r="IS60" t="e">
        <f>AND(#REF!,"AAAAAH7/b/w=")</f>
        <v>#REF!</v>
      </c>
      <c r="IT60" t="e">
        <f>AND(#REF!,"AAAAAH7/b/0=")</f>
        <v>#REF!</v>
      </c>
      <c r="IU60" t="e">
        <f>AND(#REF!,"AAAAAH7/b/4=")</f>
        <v>#REF!</v>
      </c>
      <c r="IV60" t="e">
        <f>AND(#REF!,"AAAAAH7/b/8=")</f>
        <v>#REF!</v>
      </c>
    </row>
    <row r="61" spans="1:256" x14ac:dyDescent="0.25">
      <c r="A61" t="e">
        <f>AND(#REF!,"AAAAAH573wA=")</f>
        <v>#REF!</v>
      </c>
      <c r="B61" t="e">
        <f>AND(#REF!,"AAAAAH573wE=")</f>
        <v>#REF!</v>
      </c>
      <c r="C61" t="e">
        <f>AND(#REF!,"AAAAAH573wI=")</f>
        <v>#REF!</v>
      </c>
      <c r="D61" t="e">
        <f>AND(#REF!,"AAAAAH573wM=")</f>
        <v>#REF!</v>
      </c>
      <c r="E61" t="e">
        <f>AND(#REF!,"AAAAAH573wQ=")</f>
        <v>#REF!</v>
      </c>
      <c r="F61" t="e">
        <f>AND(#REF!,"AAAAAH573wU=")</f>
        <v>#REF!</v>
      </c>
      <c r="G61" t="e">
        <f>AND(#REF!,"AAAAAH573wY=")</f>
        <v>#REF!</v>
      </c>
      <c r="H61" t="e">
        <f>AND(#REF!,"AAAAAH573wc=")</f>
        <v>#REF!</v>
      </c>
      <c r="I61" t="e">
        <f>AND(#REF!,"AAAAAH573wg=")</f>
        <v>#REF!</v>
      </c>
      <c r="J61" t="e">
        <f>AND(#REF!,"AAAAAH573wk=")</f>
        <v>#REF!</v>
      </c>
      <c r="K61" t="e">
        <f>AND(#REF!,"AAAAAH573wo=")</f>
        <v>#REF!</v>
      </c>
      <c r="L61" t="e">
        <f>AND(#REF!,"AAAAAH573ws=")</f>
        <v>#REF!</v>
      </c>
      <c r="M61" t="e">
        <f>AND(#REF!,"AAAAAH573ww=")</f>
        <v>#REF!</v>
      </c>
      <c r="N61" t="e">
        <f>AND(#REF!,"AAAAAH573w0=")</f>
        <v>#REF!</v>
      </c>
      <c r="O61" t="e">
        <f>AND(#REF!,"AAAAAH573w4=")</f>
        <v>#REF!</v>
      </c>
      <c r="P61" t="e">
        <f>AND(#REF!,"AAAAAH573w8=")</f>
        <v>#REF!</v>
      </c>
      <c r="Q61" t="e">
        <f>AND(#REF!,"AAAAAH573xA=")</f>
        <v>#REF!</v>
      </c>
      <c r="R61" t="e">
        <f>IF(#REF!,"AAAAAH573xE=",0)</f>
        <v>#REF!</v>
      </c>
      <c r="S61" t="e">
        <f>AND(#REF!,"AAAAAH573xI=")</f>
        <v>#REF!</v>
      </c>
      <c r="T61" t="e">
        <f>AND(#REF!,"AAAAAH573xM=")</f>
        <v>#REF!</v>
      </c>
      <c r="U61" t="e">
        <f>AND(#REF!,"AAAAAH573xQ=")</f>
        <v>#REF!</v>
      </c>
      <c r="V61" t="e">
        <f>AND(#REF!,"AAAAAH573xU=")</f>
        <v>#REF!</v>
      </c>
      <c r="W61" t="e">
        <f>AND(#REF!,"AAAAAH573xY=")</f>
        <v>#REF!</v>
      </c>
      <c r="X61" t="e">
        <f>AND(#REF!,"AAAAAH573xc=")</f>
        <v>#REF!</v>
      </c>
      <c r="Y61" t="e">
        <f>AND(#REF!,"AAAAAH573xg=")</f>
        <v>#REF!</v>
      </c>
      <c r="Z61" t="e">
        <f>AND(#REF!,"AAAAAH573xk=")</f>
        <v>#REF!</v>
      </c>
      <c r="AA61" t="e">
        <f>AND(#REF!,"AAAAAH573xo=")</f>
        <v>#REF!</v>
      </c>
      <c r="AB61" t="e">
        <f>AND(#REF!,"AAAAAH573xs=")</f>
        <v>#REF!</v>
      </c>
      <c r="AC61" t="e">
        <f>AND(#REF!,"AAAAAH573xw=")</f>
        <v>#REF!</v>
      </c>
      <c r="AD61" t="e">
        <f>AND(#REF!,"AAAAAH573x0=")</f>
        <v>#REF!</v>
      </c>
      <c r="AE61" t="e">
        <f>AND(#REF!,"AAAAAH573x4=")</f>
        <v>#REF!</v>
      </c>
      <c r="AF61" t="e">
        <f>AND(#REF!,"AAAAAH573x8=")</f>
        <v>#REF!</v>
      </c>
      <c r="AG61" t="e">
        <f>AND(#REF!,"AAAAAH573yA=")</f>
        <v>#REF!</v>
      </c>
      <c r="AH61" t="e">
        <f>AND(#REF!,"AAAAAH573yE=")</f>
        <v>#REF!</v>
      </c>
      <c r="AI61" t="e">
        <f>AND(#REF!,"AAAAAH573yI=")</f>
        <v>#REF!</v>
      </c>
      <c r="AJ61" t="e">
        <f>AND(#REF!,"AAAAAH573yM=")</f>
        <v>#REF!</v>
      </c>
      <c r="AK61" t="e">
        <f>AND(#REF!,"AAAAAH573yQ=")</f>
        <v>#REF!</v>
      </c>
      <c r="AL61" t="e">
        <f>AND(#REF!,"AAAAAH573yU=")</f>
        <v>#REF!</v>
      </c>
      <c r="AM61" t="e">
        <f>AND(#REF!,"AAAAAH573yY=")</f>
        <v>#REF!</v>
      </c>
      <c r="AN61" t="e">
        <f>AND(#REF!,"AAAAAH573yc=")</f>
        <v>#REF!</v>
      </c>
      <c r="AO61" t="e">
        <f>AND(#REF!,"AAAAAH573yg=")</f>
        <v>#REF!</v>
      </c>
      <c r="AP61" t="e">
        <f>IF(#REF!,"AAAAAH573yk=",0)</f>
        <v>#REF!</v>
      </c>
      <c r="AQ61" t="e">
        <f>AND(#REF!,"AAAAAH573yo=")</f>
        <v>#REF!</v>
      </c>
      <c r="AR61" t="e">
        <f>AND(#REF!,"AAAAAH573ys=")</f>
        <v>#REF!</v>
      </c>
      <c r="AS61" t="e">
        <f>AND(#REF!,"AAAAAH573yw=")</f>
        <v>#REF!</v>
      </c>
      <c r="AT61" t="e">
        <f>AND(#REF!,"AAAAAH573y0=")</f>
        <v>#REF!</v>
      </c>
      <c r="AU61" t="e">
        <f>AND(#REF!,"AAAAAH573y4=")</f>
        <v>#REF!</v>
      </c>
      <c r="AV61" t="e">
        <f>AND(#REF!,"AAAAAH573y8=")</f>
        <v>#REF!</v>
      </c>
      <c r="AW61" t="e">
        <f>AND(#REF!,"AAAAAH573zA=")</f>
        <v>#REF!</v>
      </c>
      <c r="AX61" t="e">
        <f>AND(#REF!,"AAAAAH573zE=")</f>
        <v>#REF!</v>
      </c>
      <c r="AY61" t="e">
        <f>AND(#REF!,"AAAAAH573zI=")</f>
        <v>#REF!</v>
      </c>
      <c r="AZ61" t="e">
        <f>AND(#REF!,"AAAAAH573zM=")</f>
        <v>#REF!</v>
      </c>
      <c r="BA61" t="e">
        <f>AND(#REF!,"AAAAAH573zQ=")</f>
        <v>#REF!</v>
      </c>
      <c r="BB61" t="e">
        <f>AND(#REF!,"AAAAAH573zU=")</f>
        <v>#REF!</v>
      </c>
      <c r="BC61" t="e">
        <f>AND(#REF!,"AAAAAH573zY=")</f>
        <v>#REF!</v>
      </c>
      <c r="BD61" t="e">
        <f>AND(#REF!,"AAAAAH573zc=")</f>
        <v>#REF!</v>
      </c>
      <c r="BE61" t="e">
        <f>AND(#REF!,"AAAAAH573zg=")</f>
        <v>#REF!</v>
      </c>
      <c r="BF61" t="e">
        <f>AND(#REF!,"AAAAAH573zk=")</f>
        <v>#REF!</v>
      </c>
      <c r="BG61" t="e">
        <f>AND(#REF!,"AAAAAH573zo=")</f>
        <v>#REF!</v>
      </c>
      <c r="BH61" t="e">
        <f>AND(#REF!,"AAAAAH573zs=")</f>
        <v>#REF!</v>
      </c>
      <c r="BI61" t="e">
        <f>AND(#REF!,"AAAAAH573zw=")</f>
        <v>#REF!</v>
      </c>
      <c r="BJ61" t="e">
        <f>AND(#REF!,"AAAAAH573z0=")</f>
        <v>#REF!</v>
      </c>
      <c r="BK61" t="e">
        <f>AND(#REF!,"AAAAAH573z4=")</f>
        <v>#REF!</v>
      </c>
      <c r="BL61" t="e">
        <f>AND(#REF!,"AAAAAH573z8=")</f>
        <v>#REF!</v>
      </c>
      <c r="BM61" t="e">
        <f>AND(#REF!,"AAAAAH5730A=")</f>
        <v>#REF!</v>
      </c>
      <c r="BN61" t="e">
        <f>IF(#REF!,"AAAAAH5730E=",0)</f>
        <v>#REF!</v>
      </c>
      <c r="BO61" t="e">
        <f>AND(#REF!,"AAAAAH5730I=")</f>
        <v>#REF!</v>
      </c>
      <c r="BP61" t="e">
        <f>AND(#REF!,"AAAAAH5730M=")</f>
        <v>#REF!</v>
      </c>
      <c r="BQ61" t="e">
        <f>AND(#REF!,"AAAAAH5730Q=")</f>
        <v>#REF!</v>
      </c>
      <c r="BR61" t="e">
        <f>AND(#REF!,"AAAAAH5730U=")</f>
        <v>#REF!</v>
      </c>
      <c r="BS61" t="e">
        <f>AND(#REF!,"AAAAAH5730Y=")</f>
        <v>#REF!</v>
      </c>
      <c r="BT61" t="e">
        <f>AND(#REF!,"AAAAAH5730c=")</f>
        <v>#REF!</v>
      </c>
      <c r="BU61" t="e">
        <f>AND(#REF!,"AAAAAH5730g=")</f>
        <v>#REF!</v>
      </c>
      <c r="BV61" t="e">
        <f>AND(#REF!,"AAAAAH5730k=")</f>
        <v>#REF!</v>
      </c>
      <c r="BW61" t="e">
        <f>AND(#REF!,"AAAAAH5730o=")</f>
        <v>#REF!</v>
      </c>
      <c r="BX61" t="e">
        <f>AND(#REF!,"AAAAAH5730s=")</f>
        <v>#REF!</v>
      </c>
      <c r="BY61" t="e">
        <f>AND(#REF!,"AAAAAH5730w=")</f>
        <v>#REF!</v>
      </c>
      <c r="BZ61" t="e">
        <f>AND(#REF!,"AAAAAH57300=")</f>
        <v>#REF!</v>
      </c>
      <c r="CA61" t="e">
        <f>AND(#REF!,"AAAAAH57304=")</f>
        <v>#REF!</v>
      </c>
      <c r="CB61" t="e">
        <f>AND(#REF!,"AAAAAH57308=")</f>
        <v>#REF!</v>
      </c>
      <c r="CC61" t="e">
        <f>AND(#REF!,"AAAAAH5731A=")</f>
        <v>#REF!</v>
      </c>
      <c r="CD61" t="e">
        <f>AND(#REF!,"AAAAAH5731E=")</f>
        <v>#REF!</v>
      </c>
      <c r="CE61" t="e">
        <f>AND(#REF!,"AAAAAH5731I=")</f>
        <v>#REF!</v>
      </c>
      <c r="CF61" t="e">
        <f>AND(#REF!,"AAAAAH5731M=")</f>
        <v>#REF!</v>
      </c>
      <c r="CG61" t="e">
        <f>AND(#REF!,"AAAAAH5731Q=")</f>
        <v>#REF!</v>
      </c>
      <c r="CH61" t="e">
        <f>AND(#REF!,"AAAAAH5731U=")</f>
        <v>#REF!</v>
      </c>
      <c r="CI61" t="e">
        <f>AND(#REF!,"AAAAAH5731Y=")</f>
        <v>#REF!</v>
      </c>
      <c r="CJ61" t="e">
        <f>AND(#REF!,"AAAAAH5731c=")</f>
        <v>#REF!</v>
      </c>
      <c r="CK61" t="e">
        <f>AND(#REF!,"AAAAAH5731g=")</f>
        <v>#REF!</v>
      </c>
      <c r="CL61" t="e">
        <f>IF(#REF!,"AAAAAH5731k=",0)</f>
        <v>#REF!</v>
      </c>
      <c r="CM61" t="e">
        <f>AND(#REF!,"AAAAAH5731o=")</f>
        <v>#REF!</v>
      </c>
      <c r="CN61" t="e">
        <f>AND(#REF!,"AAAAAH5731s=")</f>
        <v>#REF!</v>
      </c>
      <c r="CO61" t="e">
        <f>AND(#REF!,"AAAAAH5731w=")</f>
        <v>#REF!</v>
      </c>
      <c r="CP61" t="e">
        <f>AND(#REF!,"AAAAAH57310=")</f>
        <v>#REF!</v>
      </c>
      <c r="CQ61" t="e">
        <f>AND(#REF!,"AAAAAH57314=")</f>
        <v>#REF!</v>
      </c>
      <c r="CR61" t="e">
        <f>AND(#REF!,"AAAAAH57318=")</f>
        <v>#REF!</v>
      </c>
      <c r="CS61" t="e">
        <f>AND(#REF!,"AAAAAH5732A=")</f>
        <v>#REF!</v>
      </c>
      <c r="CT61" t="e">
        <f>AND(#REF!,"AAAAAH5732E=")</f>
        <v>#REF!</v>
      </c>
      <c r="CU61" t="e">
        <f>AND(#REF!,"AAAAAH5732I=")</f>
        <v>#REF!</v>
      </c>
      <c r="CV61" t="e">
        <f>AND(#REF!,"AAAAAH5732M=")</f>
        <v>#REF!</v>
      </c>
      <c r="CW61" t="e">
        <f>AND(#REF!,"AAAAAH5732Q=")</f>
        <v>#REF!</v>
      </c>
      <c r="CX61" t="e">
        <f>AND(#REF!,"AAAAAH5732U=")</f>
        <v>#REF!</v>
      </c>
      <c r="CY61" t="e">
        <f>AND(#REF!,"AAAAAH5732Y=")</f>
        <v>#REF!</v>
      </c>
      <c r="CZ61" t="e">
        <f>AND(#REF!,"AAAAAH5732c=")</f>
        <v>#REF!</v>
      </c>
      <c r="DA61" t="e">
        <f>AND(#REF!,"AAAAAH5732g=")</f>
        <v>#REF!</v>
      </c>
      <c r="DB61" t="e">
        <f>AND(#REF!,"AAAAAH5732k=")</f>
        <v>#REF!</v>
      </c>
      <c r="DC61" t="e">
        <f>AND(#REF!,"AAAAAH5732o=")</f>
        <v>#REF!</v>
      </c>
      <c r="DD61" t="e">
        <f>AND(#REF!,"AAAAAH5732s=")</f>
        <v>#REF!</v>
      </c>
      <c r="DE61" t="e">
        <f>AND(#REF!,"AAAAAH5732w=")</f>
        <v>#REF!</v>
      </c>
      <c r="DF61" t="e">
        <f>AND(#REF!,"AAAAAH57320=")</f>
        <v>#REF!</v>
      </c>
      <c r="DG61" t="e">
        <f>AND(#REF!,"AAAAAH57324=")</f>
        <v>#REF!</v>
      </c>
      <c r="DH61" t="e">
        <f>AND(#REF!,"AAAAAH57328=")</f>
        <v>#REF!</v>
      </c>
      <c r="DI61" t="e">
        <f>AND(#REF!,"AAAAAH5733A=")</f>
        <v>#REF!</v>
      </c>
      <c r="DJ61" t="e">
        <f>IF(#REF!,"AAAAAH5733E=",0)</f>
        <v>#REF!</v>
      </c>
      <c r="DK61" t="e">
        <f>AND(#REF!,"AAAAAH5733I=")</f>
        <v>#REF!</v>
      </c>
      <c r="DL61" t="e">
        <f>AND(#REF!,"AAAAAH5733M=")</f>
        <v>#REF!</v>
      </c>
      <c r="DM61" t="e">
        <f>AND(#REF!,"AAAAAH5733Q=")</f>
        <v>#REF!</v>
      </c>
      <c r="DN61" t="e">
        <f>AND(#REF!,"AAAAAH5733U=")</f>
        <v>#REF!</v>
      </c>
      <c r="DO61" t="e">
        <f>AND(#REF!,"AAAAAH5733Y=")</f>
        <v>#REF!</v>
      </c>
      <c r="DP61" t="e">
        <f>AND(#REF!,"AAAAAH5733c=")</f>
        <v>#REF!</v>
      </c>
      <c r="DQ61" t="e">
        <f>AND(#REF!,"AAAAAH5733g=")</f>
        <v>#REF!</v>
      </c>
      <c r="DR61" t="e">
        <f>AND(#REF!,"AAAAAH5733k=")</f>
        <v>#REF!</v>
      </c>
      <c r="DS61" t="e">
        <f>AND(#REF!,"AAAAAH5733o=")</f>
        <v>#REF!</v>
      </c>
      <c r="DT61" t="e">
        <f>AND(#REF!,"AAAAAH5733s=")</f>
        <v>#REF!</v>
      </c>
      <c r="DU61" t="e">
        <f>AND(#REF!,"AAAAAH5733w=")</f>
        <v>#REF!</v>
      </c>
      <c r="DV61" t="e">
        <f>AND(#REF!,"AAAAAH57330=")</f>
        <v>#REF!</v>
      </c>
      <c r="DW61" t="e">
        <f>AND(#REF!,"AAAAAH57334=")</f>
        <v>#REF!</v>
      </c>
      <c r="DX61" t="e">
        <f>AND(#REF!,"AAAAAH57338=")</f>
        <v>#REF!</v>
      </c>
      <c r="DY61" t="e">
        <f>AND(#REF!,"AAAAAH5734A=")</f>
        <v>#REF!</v>
      </c>
      <c r="DZ61" t="e">
        <f>AND(#REF!,"AAAAAH5734E=")</f>
        <v>#REF!</v>
      </c>
      <c r="EA61" t="e">
        <f>AND(#REF!,"AAAAAH5734I=")</f>
        <v>#REF!</v>
      </c>
      <c r="EB61" t="e">
        <f>AND(#REF!,"AAAAAH5734M=")</f>
        <v>#REF!</v>
      </c>
      <c r="EC61" t="e">
        <f>AND(#REF!,"AAAAAH5734Q=")</f>
        <v>#REF!</v>
      </c>
      <c r="ED61" t="e">
        <f>AND(#REF!,"AAAAAH5734U=")</f>
        <v>#REF!</v>
      </c>
      <c r="EE61" t="e">
        <f>AND(#REF!,"AAAAAH5734Y=")</f>
        <v>#REF!</v>
      </c>
      <c r="EF61" t="e">
        <f>AND(#REF!,"AAAAAH5734c=")</f>
        <v>#REF!</v>
      </c>
      <c r="EG61" t="e">
        <f>AND(#REF!,"AAAAAH5734g=")</f>
        <v>#REF!</v>
      </c>
      <c r="EH61" t="e">
        <f>IF(#REF!,"AAAAAH5734k=",0)</f>
        <v>#REF!</v>
      </c>
      <c r="EI61" t="e">
        <f>AND(#REF!,"AAAAAH5734o=")</f>
        <v>#REF!</v>
      </c>
      <c r="EJ61" t="e">
        <f>AND(#REF!,"AAAAAH5734s=")</f>
        <v>#REF!</v>
      </c>
      <c r="EK61" t="e">
        <f>AND(#REF!,"AAAAAH5734w=")</f>
        <v>#REF!</v>
      </c>
      <c r="EL61" t="e">
        <f>AND(#REF!,"AAAAAH57340=")</f>
        <v>#REF!</v>
      </c>
      <c r="EM61" t="e">
        <f>AND(#REF!,"AAAAAH57344=")</f>
        <v>#REF!</v>
      </c>
      <c r="EN61" t="e">
        <f>AND(#REF!,"AAAAAH57348=")</f>
        <v>#REF!</v>
      </c>
      <c r="EO61" t="e">
        <f>AND(#REF!,"AAAAAH5735A=")</f>
        <v>#REF!</v>
      </c>
      <c r="EP61" t="e">
        <f>AND(#REF!,"AAAAAH5735E=")</f>
        <v>#REF!</v>
      </c>
      <c r="EQ61" t="e">
        <f>AND(#REF!,"AAAAAH5735I=")</f>
        <v>#REF!</v>
      </c>
      <c r="ER61" t="e">
        <f>AND(#REF!,"AAAAAH5735M=")</f>
        <v>#REF!</v>
      </c>
      <c r="ES61" t="e">
        <f>AND(#REF!,"AAAAAH5735Q=")</f>
        <v>#REF!</v>
      </c>
      <c r="ET61" t="e">
        <f>AND(#REF!,"AAAAAH5735U=")</f>
        <v>#REF!</v>
      </c>
      <c r="EU61" t="e">
        <f>AND(#REF!,"AAAAAH5735Y=")</f>
        <v>#REF!</v>
      </c>
      <c r="EV61" t="e">
        <f>AND(#REF!,"AAAAAH5735c=")</f>
        <v>#REF!</v>
      </c>
      <c r="EW61" t="e">
        <f>AND(#REF!,"AAAAAH5735g=")</f>
        <v>#REF!</v>
      </c>
      <c r="EX61" t="e">
        <f>AND(#REF!,"AAAAAH5735k=")</f>
        <v>#REF!</v>
      </c>
      <c r="EY61" t="e">
        <f>AND(#REF!,"AAAAAH5735o=")</f>
        <v>#REF!</v>
      </c>
      <c r="EZ61" t="e">
        <f>AND(#REF!,"AAAAAH5735s=")</f>
        <v>#REF!</v>
      </c>
      <c r="FA61" t="e">
        <f>AND(#REF!,"AAAAAH5735w=")</f>
        <v>#REF!</v>
      </c>
      <c r="FB61" t="e">
        <f>AND(#REF!,"AAAAAH57350=")</f>
        <v>#REF!</v>
      </c>
      <c r="FC61" t="e">
        <f>AND(#REF!,"AAAAAH57354=")</f>
        <v>#REF!</v>
      </c>
      <c r="FD61" t="e">
        <f>AND(#REF!,"AAAAAH57358=")</f>
        <v>#REF!</v>
      </c>
      <c r="FE61" t="e">
        <f>AND(#REF!,"AAAAAH5736A=")</f>
        <v>#REF!</v>
      </c>
      <c r="FF61" t="e">
        <f>IF(#REF!,"AAAAAH5736E=",0)</f>
        <v>#REF!</v>
      </c>
      <c r="FG61" t="e">
        <f>AND(#REF!,"AAAAAH5736I=")</f>
        <v>#REF!</v>
      </c>
      <c r="FH61" t="e">
        <f>AND(#REF!,"AAAAAH5736M=")</f>
        <v>#REF!</v>
      </c>
      <c r="FI61" t="e">
        <f>AND(#REF!,"AAAAAH5736Q=")</f>
        <v>#REF!</v>
      </c>
      <c r="FJ61" t="e">
        <f>AND(#REF!,"AAAAAH5736U=")</f>
        <v>#REF!</v>
      </c>
      <c r="FK61" t="e">
        <f>AND(#REF!,"AAAAAH5736Y=")</f>
        <v>#REF!</v>
      </c>
      <c r="FL61" t="e">
        <f>AND(#REF!,"AAAAAH5736c=")</f>
        <v>#REF!</v>
      </c>
      <c r="FM61" t="e">
        <f>AND(#REF!,"AAAAAH5736g=")</f>
        <v>#REF!</v>
      </c>
      <c r="FN61" t="e">
        <f>AND(#REF!,"AAAAAH5736k=")</f>
        <v>#REF!</v>
      </c>
      <c r="FO61" t="e">
        <f>AND(#REF!,"AAAAAH5736o=")</f>
        <v>#REF!</v>
      </c>
      <c r="FP61" t="e">
        <f>AND(#REF!,"AAAAAH5736s=")</f>
        <v>#REF!</v>
      </c>
      <c r="FQ61" t="e">
        <f>AND(#REF!,"AAAAAH5736w=")</f>
        <v>#REF!</v>
      </c>
      <c r="FR61" t="e">
        <f>AND(#REF!,"AAAAAH57360=")</f>
        <v>#REF!</v>
      </c>
      <c r="FS61" t="e">
        <f>AND(#REF!,"AAAAAH57364=")</f>
        <v>#REF!</v>
      </c>
      <c r="FT61" t="e">
        <f>AND(#REF!,"AAAAAH57368=")</f>
        <v>#REF!</v>
      </c>
      <c r="FU61" t="e">
        <f>AND(#REF!,"AAAAAH5737A=")</f>
        <v>#REF!</v>
      </c>
      <c r="FV61" t="e">
        <f>AND(#REF!,"AAAAAH5737E=")</f>
        <v>#REF!</v>
      </c>
      <c r="FW61" t="e">
        <f>AND(#REF!,"AAAAAH5737I=")</f>
        <v>#REF!</v>
      </c>
      <c r="FX61" t="e">
        <f>AND(#REF!,"AAAAAH5737M=")</f>
        <v>#REF!</v>
      </c>
      <c r="FY61" t="e">
        <f>AND(#REF!,"AAAAAH5737Q=")</f>
        <v>#REF!</v>
      </c>
      <c r="FZ61" t="e">
        <f>AND(#REF!,"AAAAAH5737U=")</f>
        <v>#REF!</v>
      </c>
      <c r="GA61" t="e">
        <f>AND(#REF!,"AAAAAH5737Y=")</f>
        <v>#REF!</v>
      </c>
      <c r="GB61" t="e">
        <f>AND(#REF!,"AAAAAH5737c=")</f>
        <v>#REF!</v>
      </c>
      <c r="GC61" t="e">
        <f>AND(#REF!,"AAAAAH5737g=")</f>
        <v>#REF!</v>
      </c>
      <c r="GD61" t="e">
        <f>IF(#REF!,"AAAAAH5737k=",0)</f>
        <v>#REF!</v>
      </c>
      <c r="GE61" t="e">
        <f>AND(#REF!,"AAAAAH5737o=")</f>
        <v>#REF!</v>
      </c>
      <c r="GF61" t="e">
        <f>AND(#REF!,"AAAAAH5737s=")</f>
        <v>#REF!</v>
      </c>
      <c r="GG61" t="e">
        <f>AND(#REF!,"AAAAAH5737w=")</f>
        <v>#REF!</v>
      </c>
      <c r="GH61" t="e">
        <f>AND(#REF!,"AAAAAH57370=")</f>
        <v>#REF!</v>
      </c>
      <c r="GI61" t="e">
        <f>AND(#REF!,"AAAAAH57374=")</f>
        <v>#REF!</v>
      </c>
      <c r="GJ61" t="e">
        <f>AND(#REF!,"AAAAAH57378=")</f>
        <v>#REF!</v>
      </c>
      <c r="GK61" t="e">
        <f>AND(#REF!,"AAAAAH5738A=")</f>
        <v>#REF!</v>
      </c>
      <c r="GL61" t="e">
        <f>AND(#REF!,"AAAAAH5738E=")</f>
        <v>#REF!</v>
      </c>
      <c r="GM61" t="e">
        <f>AND(#REF!,"AAAAAH5738I=")</f>
        <v>#REF!</v>
      </c>
      <c r="GN61" t="e">
        <f>AND(#REF!,"AAAAAH5738M=")</f>
        <v>#REF!</v>
      </c>
      <c r="GO61" t="e">
        <f>AND(#REF!,"AAAAAH5738Q=")</f>
        <v>#REF!</v>
      </c>
      <c r="GP61" t="e">
        <f>AND(#REF!,"AAAAAH5738U=")</f>
        <v>#REF!</v>
      </c>
      <c r="GQ61" t="e">
        <f>AND(#REF!,"AAAAAH5738Y=")</f>
        <v>#REF!</v>
      </c>
      <c r="GR61" t="e">
        <f>AND(#REF!,"AAAAAH5738c=")</f>
        <v>#REF!</v>
      </c>
      <c r="GS61" t="e">
        <f>AND(#REF!,"AAAAAH5738g=")</f>
        <v>#REF!</v>
      </c>
      <c r="GT61" t="e">
        <f>AND(#REF!,"AAAAAH5738k=")</f>
        <v>#REF!</v>
      </c>
      <c r="GU61" t="e">
        <f>AND(#REF!,"AAAAAH5738o=")</f>
        <v>#REF!</v>
      </c>
      <c r="GV61" t="e">
        <f>AND(#REF!,"AAAAAH5738s=")</f>
        <v>#REF!</v>
      </c>
      <c r="GW61" t="e">
        <f>AND(#REF!,"AAAAAH5738w=")</f>
        <v>#REF!</v>
      </c>
      <c r="GX61" t="e">
        <f>AND(#REF!,"AAAAAH57380=")</f>
        <v>#REF!</v>
      </c>
      <c r="GY61" t="e">
        <f>AND(#REF!,"AAAAAH57384=")</f>
        <v>#REF!</v>
      </c>
      <c r="GZ61" t="e">
        <f>AND(#REF!,"AAAAAH57388=")</f>
        <v>#REF!</v>
      </c>
      <c r="HA61" t="e">
        <f>AND(#REF!,"AAAAAH5739A=")</f>
        <v>#REF!</v>
      </c>
      <c r="HB61" t="e">
        <f>IF(#REF!,"AAAAAH5739E=",0)</f>
        <v>#REF!</v>
      </c>
      <c r="HC61" t="e">
        <f>AND(#REF!,"AAAAAH5739I=")</f>
        <v>#REF!</v>
      </c>
      <c r="HD61" t="e">
        <f>AND(#REF!,"AAAAAH5739M=")</f>
        <v>#REF!</v>
      </c>
      <c r="HE61" t="e">
        <f>AND(#REF!,"AAAAAH5739Q=")</f>
        <v>#REF!</v>
      </c>
      <c r="HF61" t="e">
        <f>AND(#REF!,"AAAAAH5739U=")</f>
        <v>#REF!</v>
      </c>
      <c r="HG61" t="e">
        <f>AND(#REF!,"AAAAAH5739Y=")</f>
        <v>#REF!</v>
      </c>
      <c r="HH61" t="e">
        <f>AND(#REF!,"AAAAAH5739c=")</f>
        <v>#REF!</v>
      </c>
      <c r="HI61" t="e">
        <f>AND(#REF!,"AAAAAH5739g=")</f>
        <v>#REF!</v>
      </c>
      <c r="HJ61" t="e">
        <f>AND(#REF!,"AAAAAH5739k=")</f>
        <v>#REF!</v>
      </c>
      <c r="HK61" t="e">
        <f>AND(#REF!,"AAAAAH5739o=")</f>
        <v>#REF!</v>
      </c>
      <c r="HL61" t="e">
        <f>AND(#REF!,"AAAAAH5739s=")</f>
        <v>#REF!</v>
      </c>
      <c r="HM61" t="e">
        <f>AND(#REF!,"AAAAAH5739w=")</f>
        <v>#REF!</v>
      </c>
      <c r="HN61" t="e">
        <f>AND(#REF!,"AAAAAH57390=")</f>
        <v>#REF!</v>
      </c>
      <c r="HO61" t="e">
        <f>AND(#REF!,"AAAAAH57394=")</f>
        <v>#REF!</v>
      </c>
      <c r="HP61" t="e">
        <f>AND(#REF!,"AAAAAH57398=")</f>
        <v>#REF!</v>
      </c>
      <c r="HQ61" t="e">
        <f>AND(#REF!,"AAAAAH573+A=")</f>
        <v>#REF!</v>
      </c>
      <c r="HR61" t="e">
        <f>AND(#REF!,"AAAAAH573+E=")</f>
        <v>#REF!</v>
      </c>
      <c r="HS61" t="e">
        <f>AND(#REF!,"AAAAAH573+I=")</f>
        <v>#REF!</v>
      </c>
      <c r="HT61" t="e">
        <f>AND(#REF!,"AAAAAH573+M=")</f>
        <v>#REF!</v>
      </c>
      <c r="HU61" t="e">
        <f>AND(#REF!,"AAAAAH573+Q=")</f>
        <v>#REF!</v>
      </c>
      <c r="HV61" t="e">
        <f>AND(#REF!,"AAAAAH573+U=")</f>
        <v>#REF!</v>
      </c>
      <c r="HW61" t="e">
        <f>AND(#REF!,"AAAAAH573+Y=")</f>
        <v>#REF!</v>
      </c>
      <c r="HX61" t="e">
        <f>AND(#REF!,"AAAAAH573+c=")</f>
        <v>#REF!</v>
      </c>
      <c r="HY61" t="e">
        <f>AND(#REF!,"AAAAAH573+g=")</f>
        <v>#REF!</v>
      </c>
      <c r="HZ61" t="e">
        <f>IF(#REF!,"AAAAAH573+k=",0)</f>
        <v>#REF!</v>
      </c>
      <c r="IA61" t="e">
        <f>AND(#REF!,"AAAAAH573+o=")</f>
        <v>#REF!</v>
      </c>
      <c r="IB61" t="e">
        <f>AND(#REF!,"AAAAAH573+s=")</f>
        <v>#REF!</v>
      </c>
      <c r="IC61" t="e">
        <f>AND(#REF!,"AAAAAH573+w=")</f>
        <v>#REF!</v>
      </c>
      <c r="ID61" t="e">
        <f>AND(#REF!,"AAAAAH573+0=")</f>
        <v>#REF!</v>
      </c>
      <c r="IE61" t="e">
        <f>AND(#REF!,"AAAAAH573+4=")</f>
        <v>#REF!</v>
      </c>
      <c r="IF61" t="e">
        <f>AND(#REF!,"AAAAAH573+8=")</f>
        <v>#REF!</v>
      </c>
      <c r="IG61" t="e">
        <f>AND(#REF!,"AAAAAH573/A=")</f>
        <v>#REF!</v>
      </c>
      <c r="IH61" t="e">
        <f>AND(#REF!,"AAAAAH573/E=")</f>
        <v>#REF!</v>
      </c>
      <c r="II61" t="e">
        <f>AND(#REF!,"AAAAAH573/I=")</f>
        <v>#REF!</v>
      </c>
      <c r="IJ61" t="e">
        <f>AND(#REF!,"AAAAAH573/M=")</f>
        <v>#REF!</v>
      </c>
      <c r="IK61" t="e">
        <f>AND(#REF!,"AAAAAH573/Q=")</f>
        <v>#REF!</v>
      </c>
      <c r="IL61" t="e">
        <f>AND(#REF!,"AAAAAH573/U=")</f>
        <v>#REF!</v>
      </c>
      <c r="IM61" t="e">
        <f>AND(#REF!,"AAAAAH573/Y=")</f>
        <v>#REF!</v>
      </c>
      <c r="IN61" t="e">
        <f>AND(#REF!,"AAAAAH573/c=")</f>
        <v>#REF!</v>
      </c>
      <c r="IO61" t="e">
        <f>AND(#REF!,"AAAAAH573/g=")</f>
        <v>#REF!</v>
      </c>
      <c r="IP61" t="e">
        <f>AND(#REF!,"AAAAAH573/k=")</f>
        <v>#REF!</v>
      </c>
      <c r="IQ61" t="e">
        <f>AND(#REF!,"AAAAAH573/o=")</f>
        <v>#REF!</v>
      </c>
      <c r="IR61" t="e">
        <f>AND(#REF!,"AAAAAH573/s=")</f>
        <v>#REF!</v>
      </c>
      <c r="IS61" t="e">
        <f>AND(#REF!,"AAAAAH573/w=")</f>
        <v>#REF!</v>
      </c>
      <c r="IT61" t="e">
        <f>AND(#REF!,"AAAAAH573/0=")</f>
        <v>#REF!</v>
      </c>
      <c r="IU61" t="e">
        <f>AND(#REF!,"AAAAAH573/4=")</f>
        <v>#REF!</v>
      </c>
      <c r="IV61" t="e">
        <f>AND(#REF!,"AAAAAH573/8=")</f>
        <v>#REF!</v>
      </c>
    </row>
    <row r="62" spans="1:256" x14ac:dyDescent="0.25">
      <c r="A62" t="e">
        <f>AND(#REF!,"AAAAAHu/lwA=")</f>
        <v>#REF!</v>
      </c>
      <c r="B62" t="e">
        <f>IF(#REF!,"AAAAAHu/lwE=",0)</f>
        <v>#REF!</v>
      </c>
      <c r="C62" t="e">
        <f>AND(#REF!,"AAAAAHu/lwI=")</f>
        <v>#REF!</v>
      </c>
      <c r="D62" t="e">
        <f>AND(#REF!,"AAAAAHu/lwM=")</f>
        <v>#REF!</v>
      </c>
      <c r="E62" t="e">
        <f>AND(#REF!,"AAAAAHu/lwQ=")</f>
        <v>#REF!</v>
      </c>
      <c r="F62" t="e">
        <f>AND(#REF!,"AAAAAHu/lwU=")</f>
        <v>#REF!</v>
      </c>
      <c r="G62" t="e">
        <f>AND(#REF!,"AAAAAHu/lwY=")</f>
        <v>#REF!</v>
      </c>
      <c r="H62" t="e">
        <f>AND(#REF!,"AAAAAHu/lwc=")</f>
        <v>#REF!</v>
      </c>
      <c r="I62" t="e">
        <f>AND(#REF!,"AAAAAHu/lwg=")</f>
        <v>#REF!</v>
      </c>
      <c r="J62" t="e">
        <f>AND(#REF!,"AAAAAHu/lwk=")</f>
        <v>#REF!</v>
      </c>
      <c r="K62" t="e">
        <f>AND(#REF!,"AAAAAHu/lwo=")</f>
        <v>#REF!</v>
      </c>
      <c r="L62" t="e">
        <f>AND(#REF!,"AAAAAHu/lws=")</f>
        <v>#REF!</v>
      </c>
      <c r="M62" t="e">
        <f>AND(#REF!,"AAAAAHu/lww=")</f>
        <v>#REF!</v>
      </c>
      <c r="N62" t="e">
        <f>AND(#REF!,"AAAAAHu/lw0=")</f>
        <v>#REF!</v>
      </c>
      <c r="O62" t="e">
        <f>AND(#REF!,"AAAAAHu/lw4=")</f>
        <v>#REF!</v>
      </c>
      <c r="P62" t="e">
        <f>AND(#REF!,"AAAAAHu/lw8=")</f>
        <v>#REF!</v>
      </c>
      <c r="Q62" t="e">
        <f>AND(#REF!,"AAAAAHu/lxA=")</f>
        <v>#REF!</v>
      </c>
      <c r="R62" t="e">
        <f>AND(#REF!,"AAAAAHu/lxE=")</f>
        <v>#REF!</v>
      </c>
      <c r="S62" t="e">
        <f>AND(#REF!,"AAAAAHu/lxI=")</f>
        <v>#REF!</v>
      </c>
      <c r="T62" t="e">
        <f>AND(#REF!,"AAAAAHu/lxM=")</f>
        <v>#REF!</v>
      </c>
      <c r="U62" t="e">
        <f>AND(#REF!,"AAAAAHu/lxQ=")</f>
        <v>#REF!</v>
      </c>
      <c r="V62" t="e">
        <f>AND(#REF!,"AAAAAHu/lxU=")</f>
        <v>#REF!</v>
      </c>
      <c r="W62" t="e">
        <f>AND(#REF!,"AAAAAHu/lxY=")</f>
        <v>#REF!</v>
      </c>
      <c r="X62" t="e">
        <f>AND(#REF!,"AAAAAHu/lxc=")</f>
        <v>#REF!</v>
      </c>
      <c r="Y62" t="e">
        <f>AND(#REF!,"AAAAAHu/lxg=")</f>
        <v>#REF!</v>
      </c>
      <c r="Z62" t="e">
        <f>IF(#REF!,"AAAAAHu/lxk=",0)</f>
        <v>#REF!</v>
      </c>
      <c r="AA62" t="e">
        <f>AND(#REF!,"AAAAAHu/lxo=")</f>
        <v>#REF!</v>
      </c>
      <c r="AB62" t="e">
        <f>AND(#REF!,"AAAAAHu/lxs=")</f>
        <v>#REF!</v>
      </c>
      <c r="AC62" t="e">
        <f>AND(#REF!,"AAAAAHu/lxw=")</f>
        <v>#REF!</v>
      </c>
      <c r="AD62" t="e">
        <f>AND(#REF!,"AAAAAHu/lx0=")</f>
        <v>#REF!</v>
      </c>
      <c r="AE62" t="e">
        <f>AND(#REF!,"AAAAAHu/lx4=")</f>
        <v>#REF!</v>
      </c>
      <c r="AF62" t="e">
        <f>AND(#REF!,"AAAAAHu/lx8=")</f>
        <v>#REF!</v>
      </c>
      <c r="AG62" t="e">
        <f>AND(#REF!,"AAAAAHu/lyA=")</f>
        <v>#REF!</v>
      </c>
      <c r="AH62" t="e">
        <f>AND(#REF!,"AAAAAHu/lyE=")</f>
        <v>#REF!</v>
      </c>
      <c r="AI62" t="e">
        <f>AND(#REF!,"AAAAAHu/lyI=")</f>
        <v>#REF!</v>
      </c>
      <c r="AJ62" t="e">
        <f>AND(#REF!,"AAAAAHu/lyM=")</f>
        <v>#REF!</v>
      </c>
      <c r="AK62" t="e">
        <f>AND(#REF!,"AAAAAHu/lyQ=")</f>
        <v>#REF!</v>
      </c>
      <c r="AL62" t="e">
        <f>AND(#REF!,"AAAAAHu/lyU=")</f>
        <v>#REF!</v>
      </c>
      <c r="AM62" t="e">
        <f>AND(#REF!,"AAAAAHu/lyY=")</f>
        <v>#REF!</v>
      </c>
      <c r="AN62" t="e">
        <f>AND(#REF!,"AAAAAHu/lyc=")</f>
        <v>#REF!</v>
      </c>
      <c r="AO62" t="e">
        <f>AND(#REF!,"AAAAAHu/lyg=")</f>
        <v>#REF!</v>
      </c>
      <c r="AP62" t="e">
        <f>AND(#REF!,"AAAAAHu/lyk=")</f>
        <v>#REF!</v>
      </c>
      <c r="AQ62" t="e">
        <f>AND(#REF!,"AAAAAHu/lyo=")</f>
        <v>#REF!</v>
      </c>
      <c r="AR62" t="e">
        <f>AND(#REF!,"AAAAAHu/lys=")</f>
        <v>#REF!</v>
      </c>
      <c r="AS62" t="e">
        <f>AND(#REF!,"AAAAAHu/lyw=")</f>
        <v>#REF!</v>
      </c>
      <c r="AT62" t="e">
        <f>AND(#REF!,"AAAAAHu/ly0=")</f>
        <v>#REF!</v>
      </c>
      <c r="AU62" t="e">
        <f>AND(#REF!,"AAAAAHu/ly4=")</f>
        <v>#REF!</v>
      </c>
      <c r="AV62" t="e">
        <f>AND(#REF!,"AAAAAHu/ly8=")</f>
        <v>#REF!</v>
      </c>
      <c r="AW62" t="e">
        <f>AND(#REF!,"AAAAAHu/lzA=")</f>
        <v>#REF!</v>
      </c>
      <c r="AX62" t="e">
        <f>IF(#REF!,"AAAAAHu/lzE=",0)</f>
        <v>#REF!</v>
      </c>
      <c r="AY62" t="e">
        <f>AND(#REF!,"AAAAAHu/lzI=")</f>
        <v>#REF!</v>
      </c>
      <c r="AZ62" t="e">
        <f>AND(#REF!,"AAAAAHu/lzM=")</f>
        <v>#REF!</v>
      </c>
      <c r="BA62" t="e">
        <f>AND(#REF!,"AAAAAHu/lzQ=")</f>
        <v>#REF!</v>
      </c>
      <c r="BB62" t="e">
        <f>AND(#REF!,"AAAAAHu/lzU=")</f>
        <v>#REF!</v>
      </c>
      <c r="BC62" t="e">
        <f>AND(#REF!,"AAAAAHu/lzY=")</f>
        <v>#REF!</v>
      </c>
      <c r="BD62" t="e">
        <f>AND(#REF!,"AAAAAHu/lzc=")</f>
        <v>#REF!</v>
      </c>
      <c r="BE62" t="e">
        <f>AND(#REF!,"AAAAAHu/lzg=")</f>
        <v>#REF!</v>
      </c>
      <c r="BF62" t="e">
        <f>AND(#REF!,"AAAAAHu/lzk=")</f>
        <v>#REF!</v>
      </c>
      <c r="BG62" t="e">
        <f>AND(#REF!,"AAAAAHu/lzo=")</f>
        <v>#REF!</v>
      </c>
      <c r="BH62" t="e">
        <f>AND(#REF!,"AAAAAHu/lzs=")</f>
        <v>#REF!</v>
      </c>
      <c r="BI62" t="e">
        <f>AND(#REF!,"AAAAAHu/lzw=")</f>
        <v>#REF!</v>
      </c>
      <c r="BJ62" t="e">
        <f>AND(#REF!,"AAAAAHu/lz0=")</f>
        <v>#REF!</v>
      </c>
      <c r="BK62" t="e">
        <f>AND(#REF!,"AAAAAHu/lz4=")</f>
        <v>#REF!</v>
      </c>
      <c r="BL62" t="e">
        <f>AND(#REF!,"AAAAAHu/lz8=")</f>
        <v>#REF!</v>
      </c>
      <c r="BM62" t="e">
        <f>AND(#REF!,"AAAAAHu/l0A=")</f>
        <v>#REF!</v>
      </c>
      <c r="BN62" t="e">
        <f>AND(#REF!,"AAAAAHu/l0E=")</f>
        <v>#REF!</v>
      </c>
      <c r="BO62" t="e">
        <f>AND(#REF!,"AAAAAHu/l0I=")</f>
        <v>#REF!</v>
      </c>
      <c r="BP62" t="e">
        <f>AND(#REF!,"AAAAAHu/l0M=")</f>
        <v>#REF!</v>
      </c>
      <c r="BQ62" t="e">
        <f>AND(#REF!,"AAAAAHu/l0Q=")</f>
        <v>#REF!</v>
      </c>
      <c r="BR62" t="e">
        <f>AND(#REF!,"AAAAAHu/l0U=")</f>
        <v>#REF!</v>
      </c>
      <c r="BS62" t="e">
        <f>AND(#REF!,"AAAAAHu/l0Y=")</f>
        <v>#REF!</v>
      </c>
      <c r="BT62" t="e">
        <f>AND(#REF!,"AAAAAHu/l0c=")</f>
        <v>#REF!</v>
      </c>
      <c r="BU62" t="e">
        <f>AND(#REF!,"AAAAAHu/l0g=")</f>
        <v>#REF!</v>
      </c>
      <c r="BV62" t="e">
        <f>IF(#REF!,"AAAAAHu/l0k=",0)</f>
        <v>#REF!</v>
      </c>
      <c r="BW62" t="e">
        <f>AND(#REF!,"AAAAAHu/l0o=")</f>
        <v>#REF!</v>
      </c>
      <c r="BX62" t="e">
        <f>AND(#REF!,"AAAAAHu/l0s=")</f>
        <v>#REF!</v>
      </c>
      <c r="BY62" t="e">
        <f>AND(#REF!,"AAAAAHu/l0w=")</f>
        <v>#REF!</v>
      </c>
      <c r="BZ62" t="e">
        <f>AND(#REF!,"AAAAAHu/l00=")</f>
        <v>#REF!</v>
      </c>
      <c r="CA62" t="e">
        <f>AND(#REF!,"AAAAAHu/l04=")</f>
        <v>#REF!</v>
      </c>
      <c r="CB62" t="e">
        <f>AND(#REF!,"AAAAAHu/l08=")</f>
        <v>#REF!</v>
      </c>
      <c r="CC62" t="e">
        <f>AND(#REF!,"AAAAAHu/l1A=")</f>
        <v>#REF!</v>
      </c>
      <c r="CD62" t="e">
        <f>AND(#REF!,"AAAAAHu/l1E=")</f>
        <v>#REF!</v>
      </c>
      <c r="CE62" t="e">
        <f>AND(#REF!,"AAAAAHu/l1I=")</f>
        <v>#REF!</v>
      </c>
      <c r="CF62" t="e">
        <f>AND(#REF!,"AAAAAHu/l1M=")</f>
        <v>#REF!</v>
      </c>
      <c r="CG62" t="e">
        <f>AND(#REF!,"AAAAAHu/l1Q=")</f>
        <v>#REF!</v>
      </c>
      <c r="CH62" t="e">
        <f>AND(#REF!,"AAAAAHu/l1U=")</f>
        <v>#REF!</v>
      </c>
      <c r="CI62" t="e">
        <f>AND(#REF!,"AAAAAHu/l1Y=")</f>
        <v>#REF!</v>
      </c>
      <c r="CJ62" t="e">
        <f>AND(#REF!,"AAAAAHu/l1c=")</f>
        <v>#REF!</v>
      </c>
      <c r="CK62" t="e">
        <f>AND(#REF!,"AAAAAHu/l1g=")</f>
        <v>#REF!</v>
      </c>
      <c r="CL62" t="e">
        <f>AND(#REF!,"AAAAAHu/l1k=")</f>
        <v>#REF!</v>
      </c>
      <c r="CM62" t="e">
        <f>AND(#REF!,"AAAAAHu/l1o=")</f>
        <v>#REF!</v>
      </c>
      <c r="CN62" t="e">
        <f>AND(#REF!,"AAAAAHu/l1s=")</f>
        <v>#REF!</v>
      </c>
      <c r="CO62" t="e">
        <f>AND(#REF!,"AAAAAHu/l1w=")</f>
        <v>#REF!</v>
      </c>
      <c r="CP62" t="e">
        <f>AND(#REF!,"AAAAAHu/l10=")</f>
        <v>#REF!</v>
      </c>
      <c r="CQ62" t="e">
        <f>AND(#REF!,"AAAAAHu/l14=")</f>
        <v>#REF!</v>
      </c>
      <c r="CR62" t="e">
        <f>AND(#REF!,"AAAAAHu/l18=")</f>
        <v>#REF!</v>
      </c>
      <c r="CS62" t="e">
        <f>AND(#REF!,"AAAAAHu/l2A=")</f>
        <v>#REF!</v>
      </c>
      <c r="CT62" t="e">
        <f>IF(#REF!,"AAAAAHu/l2E=",0)</f>
        <v>#REF!</v>
      </c>
      <c r="CU62" t="e">
        <f>AND(#REF!,"AAAAAHu/l2I=")</f>
        <v>#REF!</v>
      </c>
      <c r="CV62" t="e">
        <f>AND(#REF!,"AAAAAHu/l2M=")</f>
        <v>#REF!</v>
      </c>
      <c r="CW62" t="e">
        <f>AND(#REF!,"AAAAAHu/l2Q=")</f>
        <v>#REF!</v>
      </c>
      <c r="CX62" t="e">
        <f>AND(#REF!,"AAAAAHu/l2U=")</f>
        <v>#REF!</v>
      </c>
      <c r="CY62" t="e">
        <f>AND(#REF!,"AAAAAHu/l2Y=")</f>
        <v>#REF!</v>
      </c>
      <c r="CZ62" t="e">
        <f>AND(#REF!,"AAAAAHu/l2c=")</f>
        <v>#REF!</v>
      </c>
      <c r="DA62" t="e">
        <f>AND(#REF!,"AAAAAHu/l2g=")</f>
        <v>#REF!</v>
      </c>
      <c r="DB62" t="e">
        <f>AND(#REF!,"AAAAAHu/l2k=")</f>
        <v>#REF!</v>
      </c>
      <c r="DC62" t="e">
        <f>AND(#REF!,"AAAAAHu/l2o=")</f>
        <v>#REF!</v>
      </c>
      <c r="DD62" t="e">
        <f>AND(#REF!,"AAAAAHu/l2s=")</f>
        <v>#REF!</v>
      </c>
      <c r="DE62" t="e">
        <f>AND(#REF!,"AAAAAHu/l2w=")</f>
        <v>#REF!</v>
      </c>
      <c r="DF62" t="e">
        <f>AND(#REF!,"AAAAAHu/l20=")</f>
        <v>#REF!</v>
      </c>
      <c r="DG62" t="e">
        <f>AND(#REF!,"AAAAAHu/l24=")</f>
        <v>#REF!</v>
      </c>
      <c r="DH62" t="e">
        <f>AND(#REF!,"AAAAAHu/l28=")</f>
        <v>#REF!</v>
      </c>
      <c r="DI62" t="e">
        <f>AND(#REF!,"AAAAAHu/l3A=")</f>
        <v>#REF!</v>
      </c>
      <c r="DJ62" t="e">
        <f>AND(#REF!,"AAAAAHu/l3E=")</f>
        <v>#REF!</v>
      </c>
      <c r="DK62" t="e">
        <f>AND(#REF!,"AAAAAHu/l3I=")</f>
        <v>#REF!</v>
      </c>
      <c r="DL62" t="e">
        <f>AND(#REF!,"AAAAAHu/l3M=")</f>
        <v>#REF!</v>
      </c>
      <c r="DM62" t="e">
        <f>AND(#REF!,"AAAAAHu/l3Q=")</f>
        <v>#REF!</v>
      </c>
      <c r="DN62" t="e">
        <f>AND(#REF!,"AAAAAHu/l3U=")</f>
        <v>#REF!</v>
      </c>
      <c r="DO62" t="e">
        <f>AND(#REF!,"AAAAAHu/l3Y=")</f>
        <v>#REF!</v>
      </c>
      <c r="DP62" t="e">
        <f>AND(#REF!,"AAAAAHu/l3c=")</f>
        <v>#REF!</v>
      </c>
      <c r="DQ62" t="e">
        <f>AND(#REF!,"AAAAAHu/l3g=")</f>
        <v>#REF!</v>
      </c>
      <c r="DR62" t="e">
        <f>IF(#REF!,"AAAAAHu/l3k=",0)</f>
        <v>#REF!</v>
      </c>
      <c r="DS62" t="e">
        <f>AND(#REF!,"AAAAAHu/l3o=")</f>
        <v>#REF!</v>
      </c>
      <c r="DT62" t="e">
        <f>AND(#REF!,"AAAAAHu/l3s=")</f>
        <v>#REF!</v>
      </c>
      <c r="DU62" t="e">
        <f>AND(#REF!,"AAAAAHu/l3w=")</f>
        <v>#REF!</v>
      </c>
      <c r="DV62" t="e">
        <f>AND(#REF!,"AAAAAHu/l30=")</f>
        <v>#REF!</v>
      </c>
      <c r="DW62" t="e">
        <f>AND(#REF!,"AAAAAHu/l34=")</f>
        <v>#REF!</v>
      </c>
      <c r="DX62" t="e">
        <f>AND(#REF!,"AAAAAHu/l38=")</f>
        <v>#REF!</v>
      </c>
      <c r="DY62" t="e">
        <f>AND(#REF!,"AAAAAHu/l4A=")</f>
        <v>#REF!</v>
      </c>
      <c r="DZ62" t="e">
        <f>AND(#REF!,"AAAAAHu/l4E=")</f>
        <v>#REF!</v>
      </c>
      <c r="EA62" t="e">
        <f>AND(#REF!,"AAAAAHu/l4I=")</f>
        <v>#REF!</v>
      </c>
      <c r="EB62" t="e">
        <f>AND(#REF!,"AAAAAHu/l4M=")</f>
        <v>#REF!</v>
      </c>
      <c r="EC62" t="e">
        <f>AND(#REF!,"AAAAAHu/l4Q=")</f>
        <v>#REF!</v>
      </c>
      <c r="ED62" t="e">
        <f>AND(#REF!,"AAAAAHu/l4U=")</f>
        <v>#REF!</v>
      </c>
      <c r="EE62" t="e">
        <f>AND(#REF!,"AAAAAHu/l4Y=")</f>
        <v>#REF!</v>
      </c>
      <c r="EF62" t="e">
        <f>AND(#REF!,"AAAAAHu/l4c=")</f>
        <v>#REF!</v>
      </c>
      <c r="EG62" t="e">
        <f>AND(#REF!,"AAAAAHu/l4g=")</f>
        <v>#REF!</v>
      </c>
      <c r="EH62" t="e">
        <f>AND(#REF!,"AAAAAHu/l4k=")</f>
        <v>#REF!</v>
      </c>
      <c r="EI62" t="e">
        <f>AND(#REF!,"AAAAAHu/l4o=")</f>
        <v>#REF!</v>
      </c>
      <c r="EJ62" t="e">
        <f>AND(#REF!,"AAAAAHu/l4s=")</f>
        <v>#REF!</v>
      </c>
      <c r="EK62" t="e">
        <f>AND(#REF!,"AAAAAHu/l4w=")</f>
        <v>#REF!</v>
      </c>
      <c r="EL62" t="e">
        <f>AND(#REF!,"AAAAAHu/l40=")</f>
        <v>#REF!</v>
      </c>
      <c r="EM62" t="e">
        <f>AND(#REF!,"AAAAAHu/l44=")</f>
        <v>#REF!</v>
      </c>
      <c r="EN62" t="e">
        <f>AND(#REF!,"AAAAAHu/l48=")</f>
        <v>#REF!</v>
      </c>
      <c r="EO62" t="e">
        <f>AND(#REF!,"AAAAAHu/l5A=")</f>
        <v>#REF!</v>
      </c>
      <c r="EP62" t="e">
        <f>IF(#REF!,"AAAAAHu/l5E=",0)</f>
        <v>#REF!</v>
      </c>
      <c r="EQ62" t="e">
        <f>AND(#REF!,"AAAAAHu/l5I=")</f>
        <v>#REF!</v>
      </c>
      <c r="ER62" t="e">
        <f>AND(#REF!,"AAAAAHu/l5M=")</f>
        <v>#REF!</v>
      </c>
      <c r="ES62" t="e">
        <f>AND(#REF!,"AAAAAHu/l5Q=")</f>
        <v>#REF!</v>
      </c>
      <c r="ET62" t="e">
        <f>AND(#REF!,"AAAAAHu/l5U=")</f>
        <v>#REF!</v>
      </c>
      <c r="EU62" t="e">
        <f>AND(#REF!,"AAAAAHu/l5Y=")</f>
        <v>#REF!</v>
      </c>
      <c r="EV62" t="e">
        <f>AND(#REF!,"AAAAAHu/l5c=")</f>
        <v>#REF!</v>
      </c>
      <c r="EW62" t="e">
        <f>AND(#REF!,"AAAAAHu/l5g=")</f>
        <v>#REF!</v>
      </c>
      <c r="EX62" t="e">
        <f>AND(#REF!,"AAAAAHu/l5k=")</f>
        <v>#REF!</v>
      </c>
      <c r="EY62" t="e">
        <f>AND(#REF!,"AAAAAHu/l5o=")</f>
        <v>#REF!</v>
      </c>
      <c r="EZ62" t="e">
        <f>AND(#REF!,"AAAAAHu/l5s=")</f>
        <v>#REF!</v>
      </c>
      <c r="FA62" t="e">
        <f>AND(#REF!,"AAAAAHu/l5w=")</f>
        <v>#REF!</v>
      </c>
      <c r="FB62" t="e">
        <f>AND(#REF!,"AAAAAHu/l50=")</f>
        <v>#REF!</v>
      </c>
      <c r="FC62" t="e">
        <f>AND(#REF!,"AAAAAHu/l54=")</f>
        <v>#REF!</v>
      </c>
      <c r="FD62" t="e">
        <f>AND(#REF!,"AAAAAHu/l58=")</f>
        <v>#REF!</v>
      </c>
      <c r="FE62" t="e">
        <f>AND(#REF!,"AAAAAHu/l6A=")</f>
        <v>#REF!</v>
      </c>
      <c r="FF62" t="e">
        <f>AND(#REF!,"AAAAAHu/l6E=")</f>
        <v>#REF!</v>
      </c>
      <c r="FG62" t="e">
        <f>AND(#REF!,"AAAAAHu/l6I=")</f>
        <v>#REF!</v>
      </c>
      <c r="FH62" t="e">
        <f>AND(#REF!,"AAAAAHu/l6M=")</f>
        <v>#REF!</v>
      </c>
      <c r="FI62" t="e">
        <f>AND(#REF!,"AAAAAHu/l6Q=")</f>
        <v>#REF!</v>
      </c>
      <c r="FJ62" t="e">
        <f>AND(#REF!,"AAAAAHu/l6U=")</f>
        <v>#REF!</v>
      </c>
      <c r="FK62" t="e">
        <f>AND(#REF!,"AAAAAHu/l6Y=")</f>
        <v>#REF!</v>
      </c>
      <c r="FL62" t="e">
        <f>AND(#REF!,"AAAAAHu/l6c=")</f>
        <v>#REF!</v>
      </c>
      <c r="FM62" t="e">
        <f>AND(#REF!,"AAAAAHu/l6g=")</f>
        <v>#REF!</v>
      </c>
      <c r="FN62" t="e">
        <f>IF(#REF!,"AAAAAHu/l6k=",0)</f>
        <v>#REF!</v>
      </c>
      <c r="FO62" t="e">
        <f>AND(#REF!,"AAAAAHu/l6o=")</f>
        <v>#REF!</v>
      </c>
      <c r="FP62" t="e">
        <f>AND(#REF!,"AAAAAHu/l6s=")</f>
        <v>#REF!</v>
      </c>
      <c r="FQ62" t="e">
        <f>AND(#REF!,"AAAAAHu/l6w=")</f>
        <v>#REF!</v>
      </c>
      <c r="FR62" t="e">
        <f>AND(#REF!,"AAAAAHu/l60=")</f>
        <v>#REF!</v>
      </c>
      <c r="FS62" t="e">
        <f>AND(#REF!,"AAAAAHu/l64=")</f>
        <v>#REF!</v>
      </c>
      <c r="FT62" t="e">
        <f>AND(#REF!,"AAAAAHu/l68=")</f>
        <v>#REF!</v>
      </c>
      <c r="FU62" t="e">
        <f>AND(#REF!,"AAAAAHu/l7A=")</f>
        <v>#REF!</v>
      </c>
      <c r="FV62" t="e">
        <f>AND(#REF!,"AAAAAHu/l7E=")</f>
        <v>#REF!</v>
      </c>
      <c r="FW62" t="e">
        <f>AND(#REF!,"AAAAAHu/l7I=")</f>
        <v>#REF!</v>
      </c>
      <c r="FX62" t="e">
        <f>AND(#REF!,"AAAAAHu/l7M=")</f>
        <v>#REF!</v>
      </c>
      <c r="FY62" t="e">
        <f>AND(#REF!,"AAAAAHu/l7Q=")</f>
        <v>#REF!</v>
      </c>
      <c r="FZ62" t="e">
        <f>AND(#REF!,"AAAAAHu/l7U=")</f>
        <v>#REF!</v>
      </c>
      <c r="GA62" t="e">
        <f>AND(#REF!,"AAAAAHu/l7Y=")</f>
        <v>#REF!</v>
      </c>
      <c r="GB62" t="e">
        <f>AND(#REF!,"AAAAAHu/l7c=")</f>
        <v>#REF!</v>
      </c>
      <c r="GC62" t="e">
        <f>AND(#REF!,"AAAAAHu/l7g=")</f>
        <v>#REF!</v>
      </c>
      <c r="GD62" t="e">
        <f>AND(#REF!,"AAAAAHu/l7k=")</f>
        <v>#REF!</v>
      </c>
      <c r="GE62" t="e">
        <f>AND(#REF!,"AAAAAHu/l7o=")</f>
        <v>#REF!</v>
      </c>
      <c r="GF62" t="e">
        <f>AND(#REF!,"AAAAAHu/l7s=")</f>
        <v>#REF!</v>
      </c>
      <c r="GG62" t="e">
        <f>AND(#REF!,"AAAAAHu/l7w=")</f>
        <v>#REF!</v>
      </c>
      <c r="GH62" t="e">
        <f>AND(#REF!,"AAAAAHu/l70=")</f>
        <v>#REF!</v>
      </c>
      <c r="GI62" t="e">
        <f>AND(#REF!,"AAAAAHu/l74=")</f>
        <v>#REF!</v>
      </c>
      <c r="GJ62" t="e">
        <f>AND(#REF!,"AAAAAHu/l78=")</f>
        <v>#REF!</v>
      </c>
      <c r="GK62" t="e">
        <f>AND(#REF!,"AAAAAHu/l8A=")</f>
        <v>#REF!</v>
      </c>
      <c r="GL62" t="e">
        <f>IF(#REF!,"AAAAAHu/l8E=",0)</f>
        <v>#REF!</v>
      </c>
      <c r="GM62" t="e">
        <f>AND(#REF!,"AAAAAHu/l8I=")</f>
        <v>#REF!</v>
      </c>
      <c r="GN62" t="e">
        <f>AND(#REF!,"AAAAAHu/l8M=")</f>
        <v>#REF!</v>
      </c>
      <c r="GO62" t="e">
        <f>AND(#REF!,"AAAAAHu/l8Q=")</f>
        <v>#REF!</v>
      </c>
      <c r="GP62" t="e">
        <f>AND(#REF!,"AAAAAHu/l8U=")</f>
        <v>#REF!</v>
      </c>
      <c r="GQ62" t="e">
        <f>AND(#REF!,"AAAAAHu/l8Y=")</f>
        <v>#REF!</v>
      </c>
      <c r="GR62" t="e">
        <f>AND(#REF!,"AAAAAHu/l8c=")</f>
        <v>#REF!</v>
      </c>
      <c r="GS62" t="e">
        <f>AND(#REF!,"AAAAAHu/l8g=")</f>
        <v>#REF!</v>
      </c>
      <c r="GT62" t="e">
        <f>AND(#REF!,"AAAAAHu/l8k=")</f>
        <v>#REF!</v>
      </c>
      <c r="GU62" t="e">
        <f>AND(#REF!,"AAAAAHu/l8o=")</f>
        <v>#REF!</v>
      </c>
      <c r="GV62" t="e">
        <f>AND(#REF!,"AAAAAHu/l8s=")</f>
        <v>#REF!</v>
      </c>
      <c r="GW62" t="e">
        <f>AND(#REF!,"AAAAAHu/l8w=")</f>
        <v>#REF!</v>
      </c>
      <c r="GX62" t="e">
        <f>AND(#REF!,"AAAAAHu/l80=")</f>
        <v>#REF!</v>
      </c>
      <c r="GY62" t="e">
        <f>AND(#REF!,"AAAAAHu/l84=")</f>
        <v>#REF!</v>
      </c>
      <c r="GZ62" t="e">
        <f>AND(#REF!,"AAAAAHu/l88=")</f>
        <v>#REF!</v>
      </c>
      <c r="HA62" t="e">
        <f>AND(#REF!,"AAAAAHu/l9A=")</f>
        <v>#REF!</v>
      </c>
      <c r="HB62" t="e">
        <f>AND(#REF!,"AAAAAHu/l9E=")</f>
        <v>#REF!</v>
      </c>
      <c r="HC62" t="e">
        <f>AND(#REF!,"AAAAAHu/l9I=")</f>
        <v>#REF!</v>
      </c>
      <c r="HD62" t="e">
        <f>AND(#REF!,"AAAAAHu/l9M=")</f>
        <v>#REF!</v>
      </c>
      <c r="HE62" t="e">
        <f>AND(#REF!,"AAAAAHu/l9Q=")</f>
        <v>#REF!</v>
      </c>
      <c r="HF62" t="e">
        <f>AND(#REF!,"AAAAAHu/l9U=")</f>
        <v>#REF!</v>
      </c>
      <c r="HG62" t="e">
        <f>AND(#REF!,"AAAAAHu/l9Y=")</f>
        <v>#REF!</v>
      </c>
      <c r="HH62" t="e">
        <f>AND(#REF!,"AAAAAHu/l9c=")</f>
        <v>#REF!</v>
      </c>
      <c r="HI62" t="e">
        <f>AND(#REF!,"AAAAAHu/l9g=")</f>
        <v>#REF!</v>
      </c>
      <c r="HJ62" t="e">
        <f>IF(#REF!,"AAAAAHu/l9k=",0)</f>
        <v>#REF!</v>
      </c>
      <c r="HK62" t="e">
        <f>AND(#REF!,"AAAAAHu/l9o=")</f>
        <v>#REF!</v>
      </c>
      <c r="HL62" t="e">
        <f>AND(#REF!,"AAAAAHu/l9s=")</f>
        <v>#REF!</v>
      </c>
      <c r="HM62" t="e">
        <f>AND(#REF!,"AAAAAHu/l9w=")</f>
        <v>#REF!</v>
      </c>
      <c r="HN62" t="e">
        <f>AND(#REF!,"AAAAAHu/l90=")</f>
        <v>#REF!</v>
      </c>
      <c r="HO62" t="e">
        <f>AND(#REF!,"AAAAAHu/l94=")</f>
        <v>#REF!</v>
      </c>
      <c r="HP62" t="e">
        <f>AND(#REF!,"AAAAAHu/l98=")</f>
        <v>#REF!</v>
      </c>
      <c r="HQ62" t="e">
        <f>AND(#REF!,"AAAAAHu/l+A=")</f>
        <v>#REF!</v>
      </c>
      <c r="HR62" t="e">
        <f>AND(#REF!,"AAAAAHu/l+E=")</f>
        <v>#REF!</v>
      </c>
      <c r="HS62" t="e">
        <f>AND(#REF!,"AAAAAHu/l+I=")</f>
        <v>#REF!</v>
      </c>
      <c r="HT62" t="e">
        <f>AND(#REF!,"AAAAAHu/l+M=")</f>
        <v>#REF!</v>
      </c>
      <c r="HU62" t="e">
        <f>AND(#REF!,"AAAAAHu/l+Q=")</f>
        <v>#REF!</v>
      </c>
      <c r="HV62" t="e">
        <f>AND(#REF!,"AAAAAHu/l+U=")</f>
        <v>#REF!</v>
      </c>
      <c r="HW62" t="e">
        <f>AND(#REF!,"AAAAAHu/l+Y=")</f>
        <v>#REF!</v>
      </c>
      <c r="HX62" t="e">
        <f>AND(#REF!,"AAAAAHu/l+c=")</f>
        <v>#REF!</v>
      </c>
      <c r="HY62" t="e">
        <f>AND(#REF!,"AAAAAHu/l+g=")</f>
        <v>#REF!</v>
      </c>
      <c r="HZ62" t="e">
        <f>AND(#REF!,"AAAAAHu/l+k=")</f>
        <v>#REF!</v>
      </c>
      <c r="IA62" t="e">
        <f>AND(#REF!,"AAAAAHu/l+o=")</f>
        <v>#REF!</v>
      </c>
      <c r="IB62" t="e">
        <f>AND(#REF!,"AAAAAHu/l+s=")</f>
        <v>#REF!</v>
      </c>
      <c r="IC62" t="e">
        <f>AND(#REF!,"AAAAAHu/l+w=")</f>
        <v>#REF!</v>
      </c>
      <c r="ID62" t="e">
        <f>AND(#REF!,"AAAAAHu/l+0=")</f>
        <v>#REF!</v>
      </c>
      <c r="IE62" t="e">
        <f>AND(#REF!,"AAAAAHu/l+4=")</f>
        <v>#REF!</v>
      </c>
      <c r="IF62" t="e">
        <f>AND(#REF!,"AAAAAHu/l+8=")</f>
        <v>#REF!</v>
      </c>
      <c r="IG62" t="e">
        <f>AND(#REF!,"AAAAAHu/l/A=")</f>
        <v>#REF!</v>
      </c>
      <c r="IH62" t="e">
        <f>IF(#REF!,"AAAAAHu/l/E=",0)</f>
        <v>#REF!</v>
      </c>
      <c r="II62" t="e">
        <f>AND(#REF!,"AAAAAHu/l/I=")</f>
        <v>#REF!</v>
      </c>
      <c r="IJ62" t="e">
        <f>AND(#REF!,"AAAAAHu/l/M=")</f>
        <v>#REF!</v>
      </c>
      <c r="IK62" t="e">
        <f>AND(#REF!,"AAAAAHu/l/Q=")</f>
        <v>#REF!</v>
      </c>
      <c r="IL62" t="e">
        <f>AND(#REF!,"AAAAAHu/l/U=")</f>
        <v>#REF!</v>
      </c>
      <c r="IM62" t="e">
        <f>AND(#REF!,"AAAAAHu/l/Y=")</f>
        <v>#REF!</v>
      </c>
      <c r="IN62" t="e">
        <f>AND(#REF!,"AAAAAHu/l/c=")</f>
        <v>#REF!</v>
      </c>
      <c r="IO62" t="e">
        <f>AND(#REF!,"AAAAAHu/l/g=")</f>
        <v>#REF!</v>
      </c>
      <c r="IP62" t="e">
        <f>AND(#REF!,"AAAAAHu/l/k=")</f>
        <v>#REF!</v>
      </c>
      <c r="IQ62" t="e">
        <f>AND(#REF!,"AAAAAHu/l/o=")</f>
        <v>#REF!</v>
      </c>
      <c r="IR62" t="e">
        <f>AND(#REF!,"AAAAAHu/l/s=")</f>
        <v>#REF!</v>
      </c>
      <c r="IS62" t="e">
        <f>AND(#REF!,"AAAAAHu/l/w=")</f>
        <v>#REF!</v>
      </c>
      <c r="IT62" t="e">
        <f>AND(#REF!,"AAAAAHu/l/0=")</f>
        <v>#REF!</v>
      </c>
      <c r="IU62" t="e">
        <f>AND(#REF!,"AAAAAHu/l/4=")</f>
        <v>#REF!</v>
      </c>
      <c r="IV62" t="e">
        <f>AND(#REF!,"AAAAAHu/l/8=")</f>
        <v>#REF!</v>
      </c>
    </row>
    <row r="63" spans="1:256" x14ac:dyDescent="0.25">
      <c r="A63" t="e">
        <f>AND(#REF!,"AAAAAHzP/gA=")</f>
        <v>#REF!</v>
      </c>
      <c r="B63" t="e">
        <f>AND(#REF!,"AAAAAHzP/gE=")</f>
        <v>#REF!</v>
      </c>
      <c r="C63" t="e">
        <f>AND(#REF!,"AAAAAHzP/gI=")</f>
        <v>#REF!</v>
      </c>
      <c r="D63" t="e">
        <f>AND(#REF!,"AAAAAHzP/gM=")</f>
        <v>#REF!</v>
      </c>
      <c r="E63" t="e">
        <f>AND(#REF!,"AAAAAHzP/gQ=")</f>
        <v>#REF!</v>
      </c>
      <c r="F63" t="e">
        <f>AND(#REF!,"AAAAAHzP/gU=")</f>
        <v>#REF!</v>
      </c>
      <c r="G63" t="e">
        <f>AND(#REF!,"AAAAAHzP/gY=")</f>
        <v>#REF!</v>
      </c>
      <c r="H63" t="e">
        <f>AND(#REF!,"AAAAAHzP/gc=")</f>
        <v>#REF!</v>
      </c>
      <c r="I63" t="e">
        <f>AND(#REF!,"AAAAAHzP/gg=")</f>
        <v>#REF!</v>
      </c>
      <c r="J63" t="e">
        <f>IF(#REF!,"AAAAAHzP/gk=",0)</f>
        <v>#REF!</v>
      </c>
      <c r="K63" t="e">
        <f>AND(#REF!,"AAAAAHzP/go=")</f>
        <v>#REF!</v>
      </c>
      <c r="L63" t="e">
        <f>AND(#REF!,"AAAAAHzP/gs=")</f>
        <v>#REF!</v>
      </c>
      <c r="M63" t="e">
        <f>AND(#REF!,"AAAAAHzP/gw=")</f>
        <v>#REF!</v>
      </c>
      <c r="N63" t="e">
        <f>AND(#REF!,"AAAAAHzP/g0=")</f>
        <v>#REF!</v>
      </c>
      <c r="O63" t="e">
        <f>AND(#REF!,"AAAAAHzP/g4=")</f>
        <v>#REF!</v>
      </c>
      <c r="P63" t="e">
        <f>AND(#REF!,"AAAAAHzP/g8=")</f>
        <v>#REF!</v>
      </c>
      <c r="Q63" t="e">
        <f>AND(#REF!,"AAAAAHzP/hA=")</f>
        <v>#REF!</v>
      </c>
      <c r="R63" t="e">
        <f>AND(#REF!,"AAAAAHzP/hE=")</f>
        <v>#REF!</v>
      </c>
      <c r="S63" t="e">
        <f>AND(#REF!,"AAAAAHzP/hI=")</f>
        <v>#REF!</v>
      </c>
      <c r="T63" t="e">
        <f>AND(#REF!,"AAAAAHzP/hM=")</f>
        <v>#REF!</v>
      </c>
      <c r="U63" t="e">
        <f>AND(#REF!,"AAAAAHzP/hQ=")</f>
        <v>#REF!</v>
      </c>
      <c r="V63" t="e">
        <f>AND(#REF!,"AAAAAHzP/hU=")</f>
        <v>#REF!</v>
      </c>
      <c r="W63" t="e">
        <f>AND(#REF!,"AAAAAHzP/hY=")</f>
        <v>#REF!</v>
      </c>
      <c r="X63" t="e">
        <f>AND(#REF!,"AAAAAHzP/hc=")</f>
        <v>#REF!</v>
      </c>
      <c r="Y63" t="e">
        <f>AND(#REF!,"AAAAAHzP/hg=")</f>
        <v>#REF!</v>
      </c>
      <c r="Z63" t="e">
        <f>AND(#REF!,"AAAAAHzP/hk=")</f>
        <v>#REF!</v>
      </c>
      <c r="AA63" t="e">
        <f>AND(#REF!,"AAAAAHzP/ho=")</f>
        <v>#REF!</v>
      </c>
      <c r="AB63" t="e">
        <f>AND(#REF!,"AAAAAHzP/hs=")</f>
        <v>#REF!</v>
      </c>
      <c r="AC63" t="e">
        <f>AND(#REF!,"AAAAAHzP/hw=")</f>
        <v>#REF!</v>
      </c>
      <c r="AD63" t="e">
        <f>AND(#REF!,"AAAAAHzP/h0=")</f>
        <v>#REF!</v>
      </c>
      <c r="AE63" t="e">
        <f>AND(#REF!,"AAAAAHzP/h4=")</f>
        <v>#REF!</v>
      </c>
      <c r="AF63" t="e">
        <f>AND(#REF!,"AAAAAHzP/h8=")</f>
        <v>#REF!</v>
      </c>
      <c r="AG63" t="e">
        <f>AND(#REF!,"AAAAAHzP/iA=")</f>
        <v>#REF!</v>
      </c>
      <c r="AH63" t="e">
        <f>IF(#REF!,"AAAAAHzP/iE=",0)</f>
        <v>#REF!</v>
      </c>
      <c r="AI63" t="e">
        <f>AND(#REF!,"AAAAAHzP/iI=")</f>
        <v>#REF!</v>
      </c>
      <c r="AJ63" t="e">
        <f>AND(#REF!,"AAAAAHzP/iM=")</f>
        <v>#REF!</v>
      </c>
      <c r="AK63" t="e">
        <f>AND(#REF!,"AAAAAHzP/iQ=")</f>
        <v>#REF!</v>
      </c>
      <c r="AL63" t="e">
        <f>AND(#REF!,"AAAAAHzP/iU=")</f>
        <v>#REF!</v>
      </c>
      <c r="AM63" t="e">
        <f>AND(#REF!,"AAAAAHzP/iY=")</f>
        <v>#REF!</v>
      </c>
      <c r="AN63" t="e">
        <f>AND(#REF!,"AAAAAHzP/ic=")</f>
        <v>#REF!</v>
      </c>
      <c r="AO63" t="e">
        <f>AND(#REF!,"AAAAAHzP/ig=")</f>
        <v>#REF!</v>
      </c>
      <c r="AP63" t="e">
        <f>AND(#REF!,"AAAAAHzP/ik=")</f>
        <v>#REF!</v>
      </c>
      <c r="AQ63" t="e">
        <f>AND(#REF!,"AAAAAHzP/io=")</f>
        <v>#REF!</v>
      </c>
      <c r="AR63" t="e">
        <f>AND(#REF!,"AAAAAHzP/is=")</f>
        <v>#REF!</v>
      </c>
      <c r="AS63" t="e">
        <f>AND(#REF!,"AAAAAHzP/iw=")</f>
        <v>#REF!</v>
      </c>
      <c r="AT63" t="e">
        <f>AND(#REF!,"AAAAAHzP/i0=")</f>
        <v>#REF!</v>
      </c>
      <c r="AU63" t="e">
        <f>AND(#REF!,"AAAAAHzP/i4=")</f>
        <v>#REF!</v>
      </c>
      <c r="AV63" t="e">
        <f>AND(#REF!,"AAAAAHzP/i8=")</f>
        <v>#REF!</v>
      </c>
      <c r="AW63" t="e">
        <f>AND(#REF!,"AAAAAHzP/jA=")</f>
        <v>#REF!</v>
      </c>
      <c r="AX63" t="e">
        <f>AND(#REF!,"AAAAAHzP/jE=")</f>
        <v>#REF!</v>
      </c>
      <c r="AY63" t="e">
        <f>AND(#REF!,"AAAAAHzP/jI=")</f>
        <v>#REF!</v>
      </c>
      <c r="AZ63" t="e">
        <f>AND(#REF!,"AAAAAHzP/jM=")</f>
        <v>#REF!</v>
      </c>
      <c r="BA63" t="e">
        <f>AND(#REF!,"AAAAAHzP/jQ=")</f>
        <v>#REF!</v>
      </c>
      <c r="BB63" t="e">
        <f>AND(#REF!,"AAAAAHzP/jU=")</f>
        <v>#REF!</v>
      </c>
      <c r="BC63" t="e">
        <f>AND(#REF!,"AAAAAHzP/jY=")</f>
        <v>#REF!</v>
      </c>
      <c r="BD63" t="e">
        <f>AND(#REF!,"AAAAAHzP/jc=")</f>
        <v>#REF!</v>
      </c>
      <c r="BE63" t="e">
        <f>AND(#REF!,"AAAAAHzP/jg=")</f>
        <v>#REF!</v>
      </c>
      <c r="BF63" t="e">
        <f>IF(#REF!,"AAAAAHzP/jk=",0)</f>
        <v>#REF!</v>
      </c>
      <c r="BG63" t="e">
        <f>AND(#REF!,"AAAAAHzP/jo=")</f>
        <v>#REF!</v>
      </c>
      <c r="BH63" t="e">
        <f>AND(#REF!,"AAAAAHzP/js=")</f>
        <v>#REF!</v>
      </c>
      <c r="BI63" t="e">
        <f>AND(#REF!,"AAAAAHzP/jw=")</f>
        <v>#REF!</v>
      </c>
      <c r="BJ63" t="e">
        <f>AND(#REF!,"AAAAAHzP/j0=")</f>
        <v>#REF!</v>
      </c>
      <c r="BK63" t="e">
        <f>AND(#REF!,"AAAAAHzP/j4=")</f>
        <v>#REF!</v>
      </c>
      <c r="BL63" t="e">
        <f>AND(#REF!,"AAAAAHzP/j8=")</f>
        <v>#REF!</v>
      </c>
      <c r="BM63" t="e">
        <f>AND(#REF!,"AAAAAHzP/kA=")</f>
        <v>#REF!</v>
      </c>
      <c r="BN63" t="e">
        <f>AND(#REF!,"AAAAAHzP/kE=")</f>
        <v>#REF!</v>
      </c>
      <c r="BO63" t="e">
        <f>AND(#REF!,"AAAAAHzP/kI=")</f>
        <v>#REF!</v>
      </c>
      <c r="BP63" t="e">
        <f>AND(#REF!,"AAAAAHzP/kM=")</f>
        <v>#REF!</v>
      </c>
      <c r="BQ63" t="e">
        <f>AND(#REF!,"AAAAAHzP/kQ=")</f>
        <v>#REF!</v>
      </c>
      <c r="BR63" t="e">
        <f>AND(#REF!,"AAAAAHzP/kU=")</f>
        <v>#REF!</v>
      </c>
      <c r="BS63" t="e">
        <f>AND(#REF!,"AAAAAHzP/kY=")</f>
        <v>#REF!</v>
      </c>
      <c r="BT63" t="e">
        <f>AND(#REF!,"AAAAAHzP/kc=")</f>
        <v>#REF!</v>
      </c>
      <c r="BU63" t="e">
        <f>AND(#REF!,"AAAAAHzP/kg=")</f>
        <v>#REF!</v>
      </c>
      <c r="BV63" t="e">
        <f>AND(#REF!,"AAAAAHzP/kk=")</f>
        <v>#REF!</v>
      </c>
      <c r="BW63" t="e">
        <f>AND(#REF!,"AAAAAHzP/ko=")</f>
        <v>#REF!</v>
      </c>
      <c r="BX63" t="e">
        <f>AND(#REF!,"AAAAAHzP/ks=")</f>
        <v>#REF!</v>
      </c>
      <c r="BY63" t="e">
        <f>AND(#REF!,"AAAAAHzP/kw=")</f>
        <v>#REF!</v>
      </c>
      <c r="BZ63" t="e">
        <f>AND(#REF!,"AAAAAHzP/k0=")</f>
        <v>#REF!</v>
      </c>
      <c r="CA63" t="e">
        <f>AND(#REF!,"AAAAAHzP/k4=")</f>
        <v>#REF!</v>
      </c>
      <c r="CB63" t="e">
        <f>AND(#REF!,"AAAAAHzP/k8=")</f>
        <v>#REF!</v>
      </c>
      <c r="CC63" t="e">
        <f>AND(#REF!,"AAAAAHzP/lA=")</f>
        <v>#REF!</v>
      </c>
      <c r="CD63" t="e">
        <f>IF(#REF!,"AAAAAHzP/lE=",0)</f>
        <v>#REF!</v>
      </c>
      <c r="CE63" t="e">
        <f>AND(#REF!,"AAAAAHzP/lI=")</f>
        <v>#REF!</v>
      </c>
      <c r="CF63" t="e">
        <f>AND(#REF!,"AAAAAHzP/lM=")</f>
        <v>#REF!</v>
      </c>
      <c r="CG63" t="e">
        <f>AND(#REF!,"AAAAAHzP/lQ=")</f>
        <v>#REF!</v>
      </c>
      <c r="CH63" t="e">
        <f>AND(#REF!,"AAAAAHzP/lU=")</f>
        <v>#REF!</v>
      </c>
      <c r="CI63" t="e">
        <f>AND(#REF!,"AAAAAHzP/lY=")</f>
        <v>#REF!</v>
      </c>
      <c r="CJ63" t="e">
        <f>AND(#REF!,"AAAAAHzP/lc=")</f>
        <v>#REF!</v>
      </c>
      <c r="CK63" t="e">
        <f>AND(#REF!,"AAAAAHzP/lg=")</f>
        <v>#REF!</v>
      </c>
      <c r="CL63" t="e">
        <f>AND(#REF!,"AAAAAHzP/lk=")</f>
        <v>#REF!</v>
      </c>
      <c r="CM63" t="e">
        <f>AND(#REF!,"AAAAAHzP/lo=")</f>
        <v>#REF!</v>
      </c>
      <c r="CN63" t="e">
        <f>AND(#REF!,"AAAAAHzP/ls=")</f>
        <v>#REF!</v>
      </c>
      <c r="CO63" t="e">
        <f>AND(#REF!,"AAAAAHzP/lw=")</f>
        <v>#REF!</v>
      </c>
      <c r="CP63" t="e">
        <f>AND(#REF!,"AAAAAHzP/l0=")</f>
        <v>#REF!</v>
      </c>
      <c r="CQ63" t="e">
        <f>AND(#REF!,"AAAAAHzP/l4=")</f>
        <v>#REF!</v>
      </c>
      <c r="CR63" t="e">
        <f>AND(#REF!,"AAAAAHzP/l8=")</f>
        <v>#REF!</v>
      </c>
      <c r="CS63" t="e">
        <f>AND(#REF!,"AAAAAHzP/mA=")</f>
        <v>#REF!</v>
      </c>
      <c r="CT63" t="e">
        <f>AND(#REF!,"AAAAAHzP/mE=")</f>
        <v>#REF!</v>
      </c>
      <c r="CU63" t="e">
        <f>AND(#REF!,"AAAAAHzP/mI=")</f>
        <v>#REF!</v>
      </c>
      <c r="CV63" t="e">
        <f>AND(#REF!,"AAAAAHzP/mM=")</f>
        <v>#REF!</v>
      </c>
      <c r="CW63" t="e">
        <f>AND(#REF!,"AAAAAHzP/mQ=")</f>
        <v>#REF!</v>
      </c>
      <c r="CX63" t="e">
        <f>AND(#REF!,"AAAAAHzP/mU=")</f>
        <v>#REF!</v>
      </c>
      <c r="CY63" t="e">
        <f>AND(#REF!,"AAAAAHzP/mY=")</f>
        <v>#REF!</v>
      </c>
      <c r="CZ63" t="e">
        <f>AND(#REF!,"AAAAAHzP/mc=")</f>
        <v>#REF!</v>
      </c>
      <c r="DA63" t="e">
        <f>AND(#REF!,"AAAAAHzP/mg=")</f>
        <v>#REF!</v>
      </c>
      <c r="DB63" t="e">
        <f>IF(#REF!,"AAAAAHzP/mk=",0)</f>
        <v>#REF!</v>
      </c>
      <c r="DC63" t="e">
        <f>AND(#REF!,"AAAAAHzP/mo=")</f>
        <v>#REF!</v>
      </c>
      <c r="DD63" t="e">
        <f>AND(#REF!,"AAAAAHzP/ms=")</f>
        <v>#REF!</v>
      </c>
      <c r="DE63" t="e">
        <f>AND(#REF!,"AAAAAHzP/mw=")</f>
        <v>#REF!</v>
      </c>
      <c r="DF63" t="e">
        <f>AND(#REF!,"AAAAAHzP/m0=")</f>
        <v>#REF!</v>
      </c>
      <c r="DG63" t="e">
        <f>AND(#REF!,"AAAAAHzP/m4=")</f>
        <v>#REF!</v>
      </c>
      <c r="DH63" t="e">
        <f>AND(#REF!,"AAAAAHzP/m8=")</f>
        <v>#REF!</v>
      </c>
      <c r="DI63" t="e">
        <f>AND(#REF!,"AAAAAHzP/nA=")</f>
        <v>#REF!</v>
      </c>
      <c r="DJ63" t="e">
        <f>AND(#REF!,"AAAAAHzP/nE=")</f>
        <v>#REF!</v>
      </c>
      <c r="DK63" t="e">
        <f>AND(#REF!,"AAAAAHzP/nI=")</f>
        <v>#REF!</v>
      </c>
      <c r="DL63" t="e">
        <f>AND(#REF!,"AAAAAHzP/nM=")</f>
        <v>#REF!</v>
      </c>
      <c r="DM63" t="e">
        <f>AND(#REF!,"AAAAAHzP/nQ=")</f>
        <v>#REF!</v>
      </c>
      <c r="DN63" t="e">
        <f>AND(#REF!,"AAAAAHzP/nU=")</f>
        <v>#REF!</v>
      </c>
      <c r="DO63" t="e">
        <f>AND(#REF!,"AAAAAHzP/nY=")</f>
        <v>#REF!</v>
      </c>
      <c r="DP63" t="e">
        <f>AND(#REF!,"AAAAAHzP/nc=")</f>
        <v>#REF!</v>
      </c>
      <c r="DQ63" t="e">
        <f>AND(#REF!,"AAAAAHzP/ng=")</f>
        <v>#REF!</v>
      </c>
      <c r="DR63" t="e">
        <f>AND(#REF!,"AAAAAHzP/nk=")</f>
        <v>#REF!</v>
      </c>
      <c r="DS63" t="e">
        <f>AND(#REF!,"AAAAAHzP/no=")</f>
        <v>#REF!</v>
      </c>
      <c r="DT63" t="e">
        <f>AND(#REF!,"AAAAAHzP/ns=")</f>
        <v>#REF!</v>
      </c>
      <c r="DU63" t="e">
        <f>AND(#REF!,"AAAAAHzP/nw=")</f>
        <v>#REF!</v>
      </c>
      <c r="DV63" t="e">
        <f>AND(#REF!,"AAAAAHzP/n0=")</f>
        <v>#REF!</v>
      </c>
      <c r="DW63" t="e">
        <f>AND(#REF!,"AAAAAHzP/n4=")</f>
        <v>#REF!</v>
      </c>
      <c r="DX63" t="e">
        <f>AND(#REF!,"AAAAAHzP/n8=")</f>
        <v>#REF!</v>
      </c>
      <c r="DY63" t="e">
        <f>AND(#REF!,"AAAAAHzP/oA=")</f>
        <v>#REF!</v>
      </c>
      <c r="DZ63" t="e">
        <f>IF(#REF!,"AAAAAHzP/oE=",0)</f>
        <v>#REF!</v>
      </c>
      <c r="EA63" t="e">
        <f>AND(#REF!,"AAAAAHzP/oI=")</f>
        <v>#REF!</v>
      </c>
      <c r="EB63" t="e">
        <f>AND(#REF!,"AAAAAHzP/oM=")</f>
        <v>#REF!</v>
      </c>
      <c r="EC63" t="e">
        <f>AND(#REF!,"AAAAAHzP/oQ=")</f>
        <v>#REF!</v>
      </c>
      <c r="ED63" t="e">
        <f>AND(#REF!,"AAAAAHzP/oU=")</f>
        <v>#REF!</v>
      </c>
      <c r="EE63" t="e">
        <f>AND(#REF!,"AAAAAHzP/oY=")</f>
        <v>#REF!</v>
      </c>
      <c r="EF63" t="e">
        <f>AND(#REF!,"AAAAAHzP/oc=")</f>
        <v>#REF!</v>
      </c>
      <c r="EG63" t="e">
        <f>AND(#REF!,"AAAAAHzP/og=")</f>
        <v>#REF!</v>
      </c>
      <c r="EH63" t="e">
        <f>AND(#REF!,"AAAAAHzP/ok=")</f>
        <v>#REF!</v>
      </c>
      <c r="EI63" t="e">
        <f>AND(#REF!,"AAAAAHzP/oo=")</f>
        <v>#REF!</v>
      </c>
      <c r="EJ63" t="e">
        <f>AND(#REF!,"AAAAAHzP/os=")</f>
        <v>#REF!</v>
      </c>
      <c r="EK63" t="e">
        <f>AND(#REF!,"AAAAAHzP/ow=")</f>
        <v>#REF!</v>
      </c>
      <c r="EL63" t="e">
        <f>AND(#REF!,"AAAAAHzP/o0=")</f>
        <v>#REF!</v>
      </c>
      <c r="EM63" t="e">
        <f>AND(#REF!,"AAAAAHzP/o4=")</f>
        <v>#REF!</v>
      </c>
      <c r="EN63" t="e">
        <f>AND(#REF!,"AAAAAHzP/o8=")</f>
        <v>#REF!</v>
      </c>
      <c r="EO63" t="e">
        <f>AND(#REF!,"AAAAAHzP/pA=")</f>
        <v>#REF!</v>
      </c>
      <c r="EP63" t="e">
        <f>AND(#REF!,"AAAAAHzP/pE=")</f>
        <v>#REF!</v>
      </c>
      <c r="EQ63" t="e">
        <f>AND(#REF!,"AAAAAHzP/pI=")</f>
        <v>#REF!</v>
      </c>
      <c r="ER63" t="e">
        <f>AND(#REF!,"AAAAAHzP/pM=")</f>
        <v>#REF!</v>
      </c>
      <c r="ES63" t="e">
        <f>AND(#REF!,"AAAAAHzP/pQ=")</f>
        <v>#REF!</v>
      </c>
      <c r="ET63" t="e">
        <f>AND(#REF!,"AAAAAHzP/pU=")</f>
        <v>#REF!</v>
      </c>
      <c r="EU63" t="e">
        <f>AND(#REF!,"AAAAAHzP/pY=")</f>
        <v>#REF!</v>
      </c>
      <c r="EV63" t="e">
        <f>AND(#REF!,"AAAAAHzP/pc=")</f>
        <v>#REF!</v>
      </c>
      <c r="EW63" t="e">
        <f>AND(#REF!,"AAAAAHzP/pg=")</f>
        <v>#REF!</v>
      </c>
      <c r="EX63" t="e">
        <f>IF(#REF!,"AAAAAHzP/pk=",0)</f>
        <v>#REF!</v>
      </c>
      <c r="EY63" t="e">
        <f>AND(#REF!,"AAAAAHzP/po=")</f>
        <v>#REF!</v>
      </c>
      <c r="EZ63" t="e">
        <f>AND(#REF!,"AAAAAHzP/ps=")</f>
        <v>#REF!</v>
      </c>
      <c r="FA63" t="e">
        <f>AND(#REF!,"AAAAAHzP/pw=")</f>
        <v>#REF!</v>
      </c>
      <c r="FB63" t="e">
        <f>AND(#REF!,"AAAAAHzP/p0=")</f>
        <v>#REF!</v>
      </c>
      <c r="FC63" t="e">
        <f>AND(#REF!,"AAAAAHzP/p4=")</f>
        <v>#REF!</v>
      </c>
      <c r="FD63" t="e">
        <f>AND(#REF!,"AAAAAHzP/p8=")</f>
        <v>#REF!</v>
      </c>
      <c r="FE63" t="e">
        <f>AND(#REF!,"AAAAAHzP/qA=")</f>
        <v>#REF!</v>
      </c>
      <c r="FF63" t="e">
        <f>AND(#REF!,"AAAAAHzP/qE=")</f>
        <v>#REF!</v>
      </c>
      <c r="FG63" t="e">
        <f>AND(#REF!,"AAAAAHzP/qI=")</f>
        <v>#REF!</v>
      </c>
      <c r="FH63" t="e">
        <f>AND(#REF!,"AAAAAHzP/qM=")</f>
        <v>#REF!</v>
      </c>
      <c r="FI63" t="e">
        <f>AND(#REF!,"AAAAAHzP/qQ=")</f>
        <v>#REF!</v>
      </c>
      <c r="FJ63" t="e">
        <f>AND(#REF!,"AAAAAHzP/qU=")</f>
        <v>#REF!</v>
      </c>
      <c r="FK63" t="e">
        <f>AND(#REF!,"AAAAAHzP/qY=")</f>
        <v>#REF!</v>
      </c>
      <c r="FL63" t="e">
        <f>AND(#REF!,"AAAAAHzP/qc=")</f>
        <v>#REF!</v>
      </c>
      <c r="FM63" t="e">
        <f>AND(#REF!,"AAAAAHzP/qg=")</f>
        <v>#REF!</v>
      </c>
      <c r="FN63" t="e">
        <f>AND(#REF!,"AAAAAHzP/qk=")</f>
        <v>#REF!</v>
      </c>
      <c r="FO63" t="e">
        <f>AND(#REF!,"AAAAAHzP/qo=")</f>
        <v>#REF!</v>
      </c>
      <c r="FP63" t="e">
        <f>AND(#REF!,"AAAAAHzP/qs=")</f>
        <v>#REF!</v>
      </c>
      <c r="FQ63" t="e">
        <f>AND(#REF!,"AAAAAHzP/qw=")</f>
        <v>#REF!</v>
      </c>
      <c r="FR63" t="e">
        <f>AND(#REF!,"AAAAAHzP/q0=")</f>
        <v>#REF!</v>
      </c>
      <c r="FS63" t="e">
        <f>AND(#REF!,"AAAAAHzP/q4=")</f>
        <v>#REF!</v>
      </c>
      <c r="FT63" t="e">
        <f>AND(#REF!,"AAAAAHzP/q8=")</f>
        <v>#REF!</v>
      </c>
      <c r="FU63" t="e">
        <f>AND(#REF!,"AAAAAHzP/rA=")</f>
        <v>#REF!</v>
      </c>
      <c r="FV63" t="e">
        <f>IF(#REF!,"AAAAAHzP/rE=",0)</f>
        <v>#REF!</v>
      </c>
      <c r="FW63" t="e">
        <f>AND(#REF!,"AAAAAHzP/rI=")</f>
        <v>#REF!</v>
      </c>
      <c r="FX63" t="e">
        <f>AND(#REF!,"AAAAAHzP/rM=")</f>
        <v>#REF!</v>
      </c>
      <c r="FY63" t="e">
        <f>AND(#REF!,"AAAAAHzP/rQ=")</f>
        <v>#REF!</v>
      </c>
      <c r="FZ63" t="e">
        <f>AND(#REF!,"AAAAAHzP/rU=")</f>
        <v>#REF!</v>
      </c>
      <c r="GA63" t="e">
        <f>AND(#REF!,"AAAAAHzP/rY=")</f>
        <v>#REF!</v>
      </c>
      <c r="GB63" t="e">
        <f>AND(#REF!,"AAAAAHzP/rc=")</f>
        <v>#REF!</v>
      </c>
      <c r="GC63" t="e">
        <f>AND(#REF!,"AAAAAHzP/rg=")</f>
        <v>#REF!</v>
      </c>
      <c r="GD63" t="e">
        <f>AND(#REF!,"AAAAAHzP/rk=")</f>
        <v>#REF!</v>
      </c>
      <c r="GE63" t="e">
        <f>AND(#REF!,"AAAAAHzP/ro=")</f>
        <v>#REF!</v>
      </c>
      <c r="GF63" t="e">
        <f>AND(#REF!,"AAAAAHzP/rs=")</f>
        <v>#REF!</v>
      </c>
      <c r="GG63" t="e">
        <f>AND(#REF!,"AAAAAHzP/rw=")</f>
        <v>#REF!</v>
      </c>
      <c r="GH63" t="e">
        <f>AND(#REF!,"AAAAAHzP/r0=")</f>
        <v>#REF!</v>
      </c>
      <c r="GI63" t="e">
        <f>AND(#REF!,"AAAAAHzP/r4=")</f>
        <v>#REF!</v>
      </c>
      <c r="GJ63" t="e">
        <f>AND(#REF!,"AAAAAHzP/r8=")</f>
        <v>#REF!</v>
      </c>
      <c r="GK63" t="e">
        <f>AND(#REF!,"AAAAAHzP/sA=")</f>
        <v>#REF!</v>
      </c>
      <c r="GL63" t="e">
        <f>AND(#REF!,"AAAAAHzP/sE=")</f>
        <v>#REF!</v>
      </c>
      <c r="GM63" t="e">
        <f>AND(#REF!,"AAAAAHzP/sI=")</f>
        <v>#REF!</v>
      </c>
      <c r="GN63" t="e">
        <f>AND(#REF!,"AAAAAHzP/sM=")</f>
        <v>#REF!</v>
      </c>
      <c r="GO63" t="e">
        <f>AND(#REF!,"AAAAAHzP/sQ=")</f>
        <v>#REF!</v>
      </c>
      <c r="GP63" t="e">
        <f>AND(#REF!,"AAAAAHzP/sU=")</f>
        <v>#REF!</v>
      </c>
      <c r="GQ63" t="e">
        <f>AND(#REF!,"AAAAAHzP/sY=")</f>
        <v>#REF!</v>
      </c>
      <c r="GR63" t="e">
        <f>AND(#REF!,"AAAAAHzP/sc=")</f>
        <v>#REF!</v>
      </c>
      <c r="GS63" t="e">
        <f>AND(#REF!,"AAAAAHzP/sg=")</f>
        <v>#REF!</v>
      </c>
      <c r="GT63" t="e">
        <f>IF(#REF!,"AAAAAHzP/sk=",0)</f>
        <v>#REF!</v>
      </c>
      <c r="GU63" t="e">
        <f>AND(#REF!,"AAAAAHzP/so=")</f>
        <v>#REF!</v>
      </c>
      <c r="GV63" t="e">
        <f>AND(#REF!,"AAAAAHzP/ss=")</f>
        <v>#REF!</v>
      </c>
      <c r="GW63" t="e">
        <f>AND(#REF!,"AAAAAHzP/sw=")</f>
        <v>#REF!</v>
      </c>
      <c r="GX63" t="e">
        <f>AND(#REF!,"AAAAAHzP/s0=")</f>
        <v>#REF!</v>
      </c>
      <c r="GY63" t="e">
        <f>AND(#REF!,"AAAAAHzP/s4=")</f>
        <v>#REF!</v>
      </c>
      <c r="GZ63" t="e">
        <f>AND(#REF!,"AAAAAHzP/s8=")</f>
        <v>#REF!</v>
      </c>
      <c r="HA63" t="e">
        <f>AND(#REF!,"AAAAAHzP/tA=")</f>
        <v>#REF!</v>
      </c>
      <c r="HB63" t="e">
        <f>AND(#REF!,"AAAAAHzP/tE=")</f>
        <v>#REF!</v>
      </c>
      <c r="HC63" t="e">
        <f>AND(#REF!,"AAAAAHzP/tI=")</f>
        <v>#REF!</v>
      </c>
      <c r="HD63" t="e">
        <f>AND(#REF!,"AAAAAHzP/tM=")</f>
        <v>#REF!</v>
      </c>
      <c r="HE63" t="e">
        <f>AND(#REF!,"AAAAAHzP/tQ=")</f>
        <v>#REF!</v>
      </c>
      <c r="HF63" t="e">
        <f>AND(#REF!,"AAAAAHzP/tU=")</f>
        <v>#REF!</v>
      </c>
      <c r="HG63" t="e">
        <f>AND(#REF!,"AAAAAHzP/tY=")</f>
        <v>#REF!</v>
      </c>
      <c r="HH63" t="e">
        <f>AND(#REF!,"AAAAAHzP/tc=")</f>
        <v>#REF!</v>
      </c>
      <c r="HI63" t="e">
        <f>AND(#REF!,"AAAAAHzP/tg=")</f>
        <v>#REF!</v>
      </c>
      <c r="HJ63" t="e">
        <f>AND(#REF!,"AAAAAHzP/tk=")</f>
        <v>#REF!</v>
      </c>
      <c r="HK63" t="e">
        <f>AND(#REF!,"AAAAAHzP/to=")</f>
        <v>#REF!</v>
      </c>
      <c r="HL63" t="e">
        <f>AND(#REF!,"AAAAAHzP/ts=")</f>
        <v>#REF!</v>
      </c>
      <c r="HM63" t="e">
        <f>AND(#REF!,"AAAAAHzP/tw=")</f>
        <v>#REF!</v>
      </c>
      <c r="HN63" t="e">
        <f>AND(#REF!,"AAAAAHzP/t0=")</f>
        <v>#REF!</v>
      </c>
      <c r="HO63" t="e">
        <f>AND(#REF!,"AAAAAHzP/t4=")</f>
        <v>#REF!</v>
      </c>
      <c r="HP63" t="e">
        <f>AND(#REF!,"AAAAAHzP/t8=")</f>
        <v>#REF!</v>
      </c>
      <c r="HQ63" t="e">
        <f>AND(#REF!,"AAAAAHzP/uA=")</f>
        <v>#REF!</v>
      </c>
      <c r="HR63" t="e">
        <f>IF(#REF!,"AAAAAHzP/uE=",0)</f>
        <v>#REF!</v>
      </c>
      <c r="HS63" t="e">
        <f>AND(#REF!,"AAAAAHzP/uI=")</f>
        <v>#REF!</v>
      </c>
      <c r="HT63" t="e">
        <f>AND(#REF!,"AAAAAHzP/uM=")</f>
        <v>#REF!</v>
      </c>
      <c r="HU63" t="e">
        <f>AND(#REF!,"AAAAAHzP/uQ=")</f>
        <v>#REF!</v>
      </c>
      <c r="HV63" t="e">
        <f>AND(#REF!,"AAAAAHzP/uU=")</f>
        <v>#REF!</v>
      </c>
      <c r="HW63" t="e">
        <f>AND(#REF!,"AAAAAHzP/uY=")</f>
        <v>#REF!</v>
      </c>
      <c r="HX63" t="e">
        <f>AND(#REF!,"AAAAAHzP/uc=")</f>
        <v>#REF!</v>
      </c>
      <c r="HY63" t="e">
        <f>AND(#REF!,"AAAAAHzP/ug=")</f>
        <v>#REF!</v>
      </c>
      <c r="HZ63" t="e">
        <f>AND(#REF!,"AAAAAHzP/uk=")</f>
        <v>#REF!</v>
      </c>
      <c r="IA63" t="e">
        <f>AND(#REF!,"AAAAAHzP/uo=")</f>
        <v>#REF!</v>
      </c>
      <c r="IB63" t="e">
        <f>AND(#REF!,"AAAAAHzP/us=")</f>
        <v>#REF!</v>
      </c>
      <c r="IC63" t="e">
        <f>AND(#REF!,"AAAAAHzP/uw=")</f>
        <v>#REF!</v>
      </c>
      <c r="ID63" t="e">
        <f>AND(#REF!,"AAAAAHzP/u0=")</f>
        <v>#REF!</v>
      </c>
      <c r="IE63" t="e">
        <f>AND(#REF!,"AAAAAHzP/u4=")</f>
        <v>#REF!</v>
      </c>
      <c r="IF63" t="e">
        <f>AND(#REF!,"AAAAAHzP/u8=")</f>
        <v>#REF!</v>
      </c>
      <c r="IG63" t="e">
        <f>AND(#REF!,"AAAAAHzP/vA=")</f>
        <v>#REF!</v>
      </c>
      <c r="IH63" t="e">
        <f>AND(#REF!,"AAAAAHzP/vE=")</f>
        <v>#REF!</v>
      </c>
      <c r="II63" t="e">
        <f>AND(#REF!,"AAAAAHzP/vI=")</f>
        <v>#REF!</v>
      </c>
      <c r="IJ63" t="e">
        <f>AND(#REF!,"AAAAAHzP/vM=")</f>
        <v>#REF!</v>
      </c>
      <c r="IK63" t="e">
        <f>AND(#REF!,"AAAAAHzP/vQ=")</f>
        <v>#REF!</v>
      </c>
      <c r="IL63" t="e">
        <f>AND(#REF!,"AAAAAHzP/vU=")</f>
        <v>#REF!</v>
      </c>
      <c r="IM63" t="e">
        <f>AND(#REF!,"AAAAAHzP/vY=")</f>
        <v>#REF!</v>
      </c>
      <c r="IN63" t="e">
        <f>AND(#REF!,"AAAAAHzP/vc=")</f>
        <v>#REF!</v>
      </c>
      <c r="IO63" t="e">
        <f>AND(#REF!,"AAAAAHzP/vg=")</f>
        <v>#REF!</v>
      </c>
      <c r="IP63" t="e">
        <f>IF(#REF!,"AAAAAHzP/vk=",0)</f>
        <v>#REF!</v>
      </c>
      <c r="IQ63" t="e">
        <f>AND(#REF!,"AAAAAHzP/vo=")</f>
        <v>#REF!</v>
      </c>
      <c r="IR63" t="e">
        <f>AND(#REF!,"AAAAAHzP/vs=")</f>
        <v>#REF!</v>
      </c>
      <c r="IS63" t="e">
        <f>AND(#REF!,"AAAAAHzP/vw=")</f>
        <v>#REF!</v>
      </c>
      <c r="IT63" t="e">
        <f>AND(#REF!,"AAAAAHzP/v0=")</f>
        <v>#REF!</v>
      </c>
      <c r="IU63" t="e">
        <f>AND(#REF!,"AAAAAHzP/v4=")</f>
        <v>#REF!</v>
      </c>
      <c r="IV63" t="e">
        <f>AND(#REF!,"AAAAAHzP/v8=")</f>
        <v>#REF!</v>
      </c>
    </row>
    <row r="64" spans="1:256" x14ac:dyDescent="0.25">
      <c r="A64" t="e">
        <f>AND(#REF!,"AAAAADfX3QA=")</f>
        <v>#REF!</v>
      </c>
      <c r="B64" t="e">
        <f>AND(#REF!,"AAAAADfX3QE=")</f>
        <v>#REF!</v>
      </c>
      <c r="C64" t="e">
        <f>AND(#REF!,"AAAAADfX3QI=")</f>
        <v>#REF!</v>
      </c>
      <c r="D64" t="e">
        <f>AND(#REF!,"AAAAADfX3QM=")</f>
        <v>#REF!</v>
      </c>
      <c r="E64" t="e">
        <f>AND(#REF!,"AAAAADfX3QQ=")</f>
        <v>#REF!</v>
      </c>
      <c r="F64" t="e">
        <f>AND(#REF!,"AAAAADfX3QU=")</f>
        <v>#REF!</v>
      </c>
      <c r="G64" t="e">
        <f>AND(#REF!,"AAAAADfX3QY=")</f>
        <v>#REF!</v>
      </c>
      <c r="H64" t="e">
        <f>AND(#REF!,"AAAAADfX3Qc=")</f>
        <v>#REF!</v>
      </c>
      <c r="I64" t="e">
        <f>AND(#REF!,"AAAAADfX3Qg=")</f>
        <v>#REF!</v>
      </c>
      <c r="J64" t="e">
        <f>AND(#REF!,"AAAAADfX3Qk=")</f>
        <v>#REF!</v>
      </c>
      <c r="K64" t="e">
        <f>AND(#REF!,"AAAAADfX3Qo=")</f>
        <v>#REF!</v>
      </c>
      <c r="L64" t="e">
        <f>AND(#REF!,"AAAAADfX3Qs=")</f>
        <v>#REF!</v>
      </c>
      <c r="M64" t="e">
        <f>AND(#REF!,"AAAAADfX3Qw=")</f>
        <v>#REF!</v>
      </c>
      <c r="N64" t="e">
        <f>AND(#REF!,"AAAAADfX3Q0=")</f>
        <v>#REF!</v>
      </c>
      <c r="O64" t="e">
        <f>AND(#REF!,"AAAAADfX3Q4=")</f>
        <v>#REF!</v>
      </c>
      <c r="P64" t="e">
        <f>AND(#REF!,"AAAAADfX3Q8=")</f>
        <v>#REF!</v>
      </c>
      <c r="Q64" t="e">
        <f>AND(#REF!,"AAAAADfX3RA=")</f>
        <v>#REF!</v>
      </c>
      <c r="R64" t="e">
        <f>IF(#REF!,"AAAAADfX3RE=",0)</f>
        <v>#REF!</v>
      </c>
      <c r="S64" t="e">
        <f>AND(#REF!,"AAAAADfX3RI=")</f>
        <v>#REF!</v>
      </c>
      <c r="T64" t="e">
        <f>AND(#REF!,"AAAAADfX3RM=")</f>
        <v>#REF!</v>
      </c>
      <c r="U64" t="e">
        <f>AND(#REF!,"AAAAADfX3RQ=")</f>
        <v>#REF!</v>
      </c>
      <c r="V64" t="e">
        <f>AND(#REF!,"AAAAADfX3RU=")</f>
        <v>#REF!</v>
      </c>
      <c r="W64" t="e">
        <f>AND(#REF!,"AAAAADfX3RY=")</f>
        <v>#REF!</v>
      </c>
      <c r="X64" t="e">
        <f>AND(#REF!,"AAAAADfX3Rc=")</f>
        <v>#REF!</v>
      </c>
      <c r="Y64" t="e">
        <f>AND(#REF!,"AAAAADfX3Rg=")</f>
        <v>#REF!</v>
      </c>
      <c r="Z64" t="e">
        <f>AND(#REF!,"AAAAADfX3Rk=")</f>
        <v>#REF!</v>
      </c>
      <c r="AA64" t="e">
        <f>AND(#REF!,"AAAAADfX3Ro=")</f>
        <v>#REF!</v>
      </c>
      <c r="AB64" t="e">
        <f>AND(#REF!,"AAAAADfX3Rs=")</f>
        <v>#REF!</v>
      </c>
      <c r="AC64" t="e">
        <f>AND(#REF!,"AAAAADfX3Rw=")</f>
        <v>#REF!</v>
      </c>
      <c r="AD64" t="e">
        <f>AND(#REF!,"AAAAADfX3R0=")</f>
        <v>#REF!</v>
      </c>
      <c r="AE64" t="e">
        <f>AND(#REF!,"AAAAADfX3R4=")</f>
        <v>#REF!</v>
      </c>
      <c r="AF64" t="e">
        <f>AND(#REF!,"AAAAADfX3R8=")</f>
        <v>#REF!</v>
      </c>
      <c r="AG64" t="e">
        <f>AND(#REF!,"AAAAADfX3SA=")</f>
        <v>#REF!</v>
      </c>
      <c r="AH64" t="e">
        <f>AND(#REF!,"AAAAADfX3SE=")</f>
        <v>#REF!</v>
      </c>
      <c r="AI64" t="e">
        <f>AND(#REF!,"AAAAADfX3SI=")</f>
        <v>#REF!</v>
      </c>
      <c r="AJ64" t="e">
        <f>AND(#REF!,"AAAAADfX3SM=")</f>
        <v>#REF!</v>
      </c>
      <c r="AK64" t="e">
        <f>AND(#REF!,"AAAAADfX3SQ=")</f>
        <v>#REF!</v>
      </c>
      <c r="AL64" t="e">
        <f>AND(#REF!,"AAAAADfX3SU=")</f>
        <v>#REF!</v>
      </c>
      <c r="AM64" t="e">
        <f>AND(#REF!,"AAAAADfX3SY=")</f>
        <v>#REF!</v>
      </c>
      <c r="AN64" t="e">
        <f>AND(#REF!,"AAAAADfX3Sc=")</f>
        <v>#REF!</v>
      </c>
      <c r="AO64" t="e">
        <f>AND(#REF!,"AAAAADfX3Sg=")</f>
        <v>#REF!</v>
      </c>
      <c r="AP64" t="e">
        <f>IF(#REF!,"AAAAADfX3Sk=",0)</f>
        <v>#REF!</v>
      </c>
      <c r="AQ64" t="e">
        <f>AND(#REF!,"AAAAADfX3So=")</f>
        <v>#REF!</v>
      </c>
      <c r="AR64" t="e">
        <f>AND(#REF!,"AAAAADfX3Ss=")</f>
        <v>#REF!</v>
      </c>
      <c r="AS64" t="e">
        <f>AND(#REF!,"AAAAADfX3Sw=")</f>
        <v>#REF!</v>
      </c>
      <c r="AT64" t="e">
        <f>AND(#REF!,"AAAAADfX3S0=")</f>
        <v>#REF!</v>
      </c>
      <c r="AU64" t="e">
        <f>AND(#REF!,"AAAAADfX3S4=")</f>
        <v>#REF!</v>
      </c>
      <c r="AV64" t="e">
        <f>AND(#REF!,"AAAAADfX3S8=")</f>
        <v>#REF!</v>
      </c>
      <c r="AW64" t="e">
        <f>AND(#REF!,"AAAAADfX3TA=")</f>
        <v>#REF!</v>
      </c>
      <c r="AX64" t="e">
        <f>AND(#REF!,"AAAAADfX3TE=")</f>
        <v>#REF!</v>
      </c>
      <c r="AY64" t="e">
        <f>AND(#REF!,"AAAAADfX3TI=")</f>
        <v>#REF!</v>
      </c>
      <c r="AZ64" t="e">
        <f>AND(#REF!,"AAAAADfX3TM=")</f>
        <v>#REF!</v>
      </c>
      <c r="BA64" t="e">
        <f>AND(#REF!,"AAAAADfX3TQ=")</f>
        <v>#REF!</v>
      </c>
      <c r="BB64" t="e">
        <f>AND(#REF!,"AAAAADfX3TU=")</f>
        <v>#REF!</v>
      </c>
      <c r="BC64" t="e">
        <f>AND(#REF!,"AAAAADfX3TY=")</f>
        <v>#REF!</v>
      </c>
      <c r="BD64" t="e">
        <f>AND(#REF!,"AAAAADfX3Tc=")</f>
        <v>#REF!</v>
      </c>
      <c r="BE64" t="e">
        <f>AND(#REF!,"AAAAADfX3Tg=")</f>
        <v>#REF!</v>
      </c>
      <c r="BF64" t="e">
        <f>AND(#REF!,"AAAAADfX3Tk=")</f>
        <v>#REF!</v>
      </c>
      <c r="BG64" t="e">
        <f>AND(#REF!,"AAAAADfX3To=")</f>
        <v>#REF!</v>
      </c>
      <c r="BH64" t="e">
        <f>AND(#REF!,"AAAAADfX3Ts=")</f>
        <v>#REF!</v>
      </c>
      <c r="BI64" t="e">
        <f>AND(#REF!,"AAAAADfX3Tw=")</f>
        <v>#REF!</v>
      </c>
      <c r="BJ64" t="e">
        <f>AND(#REF!,"AAAAADfX3T0=")</f>
        <v>#REF!</v>
      </c>
      <c r="BK64" t="e">
        <f>AND(#REF!,"AAAAADfX3T4=")</f>
        <v>#REF!</v>
      </c>
      <c r="BL64" t="e">
        <f>AND(#REF!,"AAAAADfX3T8=")</f>
        <v>#REF!</v>
      </c>
      <c r="BM64" t="e">
        <f>AND(#REF!,"AAAAADfX3UA=")</f>
        <v>#REF!</v>
      </c>
      <c r="BN64" t="e">
        <f>IF(#REF!,"AAAAADfX3UE=",0)</f>
        <v>#REF!</v>
      </c>
      <c r="BO64" t="e">
        <f>AND(#REF!,"AAAAADfX3UI=")</f>
        <v>#REF!</v>
      </c>
      <c r="BP64" t="e">
        <f>AND(#REF!,"AAAAADfX3UM=")</f>
        <v>#REF!</v>
      </c>
      <c r="BQ64" t="e">
        <f>AND(#REF!,"AAAAADfX3UQ=")</f>
        <v>#REF!</v>
      </c>
      <c r="BR64" t="e">
        <f>AND(#REF!,"AAAAADfX3UU=")</f>
        <v>#REF!</v>
      </c>
      <c r="BS64" t="e">
        <f>AND(#REF!,"AAAAADfX3UY=")</f>
        <v>#REF!</v>
      </c>
      <c r="BT64" t="e">
        <f>AND(#REF!,"AAAAADfX3Uc=")</f>
        <v>#REF!</v>
      </c>
      <c r="BU64" t="e">
        <f>AND(#REF!,"AAAAADfX3Ug=")</f>
        <v>#REF!</v>
      </c>
      <c r="BV64" t="e">
        <f>AND(#REF!,"AAAAADfX3Uk=")</f>
        <v>#REF!</v>
      </c>
      <c r="BW64" t="e">
        <f>AND(#REF!,"AAAAADfX3Uo=")</f>
        <v>#REF!</v>
      </c>
      <c r="BX64" t="e">
        <f>AND(#REF!,"AAAAADfX3Us=")</f>
        <v>#REF!</v>
      </c>
      <c r="BY64" t="e">
        <f>AND(#REF!,"AAAAADfX3Uw=")</f>
        <v>#REF!</v>
      </c>
      <c r="BZ64" t="e">
        <f>AND(#REF!,"AAAAADfX3U0=")</f>
        <v>#REF!</v>
      </c>
      <c r="CA64" t="e">
        <f>AND(#REF!,"AAAAADfX3U4=")</f>
        <v>#REF!</v>
      </c>
      <c r="CB64" t="e">
        <f>AND(#REF!,"AAAAADfX3U8=")</f>
        <v>#REF!</v>
      </c>
      <c r="CC64" t="e">
        <f>AND(#REF!,"AAAAADfX3VA=")</f>
        <v>#REF!</v>
      </c>
      <c r="CD64" t="e">
        <f>AND(#REF!,"AAAAADfX3VE=")</f>
        <v>#REF!</v>
      </c>
      <c r="CE64" t="e">
        <f>AND(#REF!,"AAAAADfX3VI=")</f>
        <v>#REF!</v>
      </c>
      <c r="CF64" t="e">
        <f>AND(#REF!,"AAAAADfX3VM=")</f>
        <v>#REF!</v>
      </c>
      <c r="CG64" t="e">
        <f>AND(#REF!,"AAAAADfX3VQ=")</f>
        <v>#REF!</v>
      </c>
      <c r="CH64" t="e">
        <f>AND(#REF!,"AAAAADfX3VU=")</f>
        <v>#REF!</v>
      </c>
      <c r="CI64" t="e">
        <f>AND(#REF!,"AAAAADfX3VY=")</f>
        <v>#REF!</v>
      </c>
      <c r="CJ64" t="e">
        <f>AND(#REF!,"AAAAADfX3Vc=")</f>
        <v>#REF!</v>
      </c>
      <c r="CK64" t="e">
        <f>AND(#REF!,"AAAAADfX3Vg=")</f>
        <v>#REF!</v>
      </c>
      <c r="CL64" t="e">
        <f>IF(#REF!,"AAAAADfX3Vk=",0)</f>
        <v>#REF!</v>
      </c>
      <c r="CM64" t="e">
        <f>AND(#REF!,"AAAAADfX3Vo=")</f>
        <v>#REF!</v>
      </c>
      <c r="CN64" t="e">
        <f>AND(#REF!,"AAAAADfX3Vs=")</f>
        <v>#REF!</v>
      </c>
      <c r="CO64" t="e">
        <f>AND(#REF!,"AAAAADfX3Vw=")</f>
        <v>#REF!</v>
      </c>
      <c r="CP64" t="e">
        <f>AND(#REF!,"AAAAADfX3V0=")</f>
        <v>#REF!</v>
      </c>
      <c r="CQ64" t="e">
        <f>AND(#REF!,"AAAAADfX3V4=")</f>
        <v>#REF!</v>
      </c>
      <c r="CR64" t="e">
        <f>AND(#REF!,"AAAAADfX3V8=")</f>
        <v>#REF!</v>
      </c>
      <c r="CS64" t="e">
        <f>AND(#REF!,"AAAAADfX3WA=")</f>
        <v>#REF!</v>
      </c>
      <c r="CT64" t="e">
        <f>AND(#REF!,"AAAAADfX3WE=")</f>
        <v>#REF!</v>
      </c>
      <c r="CU64" t="e">
        <f>AND(#REF!,"AAAAADfX3WI=")</f>
        <v>#REF!</v>
      </c>
      <c r="CV64" t="e">
        <f>AND(#REF!,"AAAAADfX3WM=")</f>
        <v>#REF!</v>
      </c>
      <c r="CW64" t="e">
        <f>AND(#REF!,"AAAAADfX3WQ=")</f>
        <v>#REF!</v>
      </c>
      <c r="CX64" t="e">
        <f>AND(#REF!,"AAAAADfX3WU=")</f>
        <v>#REF!</v>
      </c>
      <c r="CY64" t="e">
        <f>AND(#REF!,"AAAAADfX3WY=")</f>
        <v>#REF!</v>
      </c>
      <c r="CZ64" t="e">
        <f>AND(#REF!,"AAAAADfX3Wc=")</f>
        <v>#REF!</v>
      </c>
      <c r="DA64" t="e">
        <f>AND(#REF!,"AAAAADfX3Wg=")</f>
        <v>#REF!</v>
      </c>
      <c r="DB64" t="e">
        <f>AND(#REF!,"AAAAADfX3Wk=")</f>
        <v>#REF!</v>
      </c>
      <c r="DC64" t="e">
        <f>AND(#REF!,"AAAAADfX3Wo=")</f>
        <v>#REF!</v>
      </c>
      <c r="DD64" t="e">
        <f>AND(#REF!,"AAAAADfX3Ws=")</f>
        <v>#REF!</v>
      </c>
      <c r="DE64" t="e">
        <f>AND(#REF!,"AAAAADfX3Ww=")</f>
        <v>#REF!</v>
      </c>
      <c r="DF64" t="e">
        <f>AND(#REF!,"AAAAADfX3W0=")</f>
        <v>#REF!</v>
      </c>
      <c r="DG64" t="e">
        <f>AND(#REF!,"AAAAADfX3W4=")</f>
        <v>#REF!</v>
      </c>
      <c r="DH64" t="e">
        <f>AND(#REF!,"AAAAADfX3W8=")</f>
        <v>#REF!</v>
      </c>
      <c r="DI64" t="e">
        <f>AND(#REF!,"AAAAADfX3XA=")</f>
        <v>#REF!</v>
      </c>
      <c r="DJ64" t="e">
        <f>IF(#REF!,"AAAAADfX3XE=",0)</f>
        <v>#REF!</v>
      </c>
      <c r="DK64" t="e">
        <f>AND(#REF!,"AAAAADfX3XI=")</f>
        <v>#REF!</v>
      </c>
      <c r="DL64" t="e">
        <f>AND(#REF!,"AAAAADfX3XM=")</f>
        <v>#REF!</v>
      </c>
      <c r="DM64" t="e">
        <f>AND(#REF!,"AAAAADfX3XQ=")</f>
        <v>#REF!</v>
      </c>
      <c r="DN64" t="e">
        <f>AND(#REF!,"AAAAADfX3XU=")</f>
        <v>#REF!</v>
      </c>
      <c r="DO64" t="e">
        <f>AND(#REF!,"AAAAADfX3XY=")</f>
        <v>#REF!</v>
      </c>
      <c r="DP64" t="e">
        <f>AND(#REF!,"AAAAADfX3Xc=")</f>
        <v>#REF!</v>
      </c>
      <c r="DQ64" t="e">
        <f>AND(#REF!,"AAAAADfX3Xg=")</f>
        <v>#REF!</v>
      </c>
      <c r="DR64" t="e">
        <f>AND(#REF!,"AAAAADfX3Xk=")</f>
        <v>#REF!</v>
      </c>
      <c r="DS64" t="e">
        <f>AND(#REF!,"AAAAADfX3Xo=")</f>
        <v>#REF!</v>
      </c>
      <c r="DT64" t="e">
        <f>AND(#REF!,"AAAAADfX3Xs=")</f>
        <v>#REF!</v>
      </c>
      <c r="DU64" t="e">
        <f>AND(#REF!,"AAAAADfX3Xw=")</f>
        <v>#REF!</v>
      </c>
      <c r="DV64" t="e">
        <f>AND(#REF!,"AAAAADfX3X0=")</f>
        <v>#REF!</v>
      </c>
      <c r="DW64" t="e">
        <f>AND(#REF!,"AAAAADfX3X4=")</f>
        <v>#REF!</v>
      </c>
      <c r="DX64" t="e">
        <f>AND(#REF!,"AAAAADfX3X8=")</f>
        <v>#REF!</v>
      </c>
      <c r="DY64" t="e">
        <f>AND(#REF!,"AAAAADfX3YA=")</f>
        <v>#REF!</v>
      </c>
      <c r="DZ64" t="e">
        <f>AND(#REF!,"AAAAADfX3YE=")</f>
        <v>#REF!</v>
      </c>
      <c r="EA64" t="e">
        <f>AND(#REF!,"AAAAADfX3YI=")</f>
        <v>#REF!</v>
      </c>
      <c r="EB64" t="e">
        <f>AND(#REF!,"AAAAADfX3YM=")</f>
        <v>#REF!</v>
      </c>
      <c r="EC64" t="e">
        <f>AND(#REF!,"AAAAADfX3YQ=")</f>
        <v>#REF!</v>
      </c>
      <c r="ED64" t="e">
        <f>AND(#REF!,"AAAAADfX3YU=")</f>
        <v>#REF!</v>
      </c>
      <c r="EE64" t="e">
        <f>AND(#REF!,"AAAAADfX3YY=")</f>
        <v>#REF!</v>
      </c>
      <c r="EF64" t="e">
        <f>AND(#REF!,"AAAAADfX3Yc=")</f>
        <v>#REF!</v>
      </c>
      <c r="EG64" t="e">
        <f>AND(#REF!,"AAAAADfX3Yg=")</f>
        <v>#REF!</v>
      </c>
      <c r="EH64" t="e">
        <f>IF(#REF!,"AAAAADfX3Yk=",0)</f>
        <v>#REF!</v>
      </c>
      <c r="EI64" t="e">
        <f>AND(#REF!,"AAAAADfX3Yo=")</f>
        <v>#REF!</v>
      </c>
      <c r="EJ64" t="e">
        <f>AND(#REF!,"AAAAADfX3Ys=")</f>
        <v>#REF!</v>
      </c>
      <c r="EK64" t="e">
        <f>AND(#REF!,"AAAAADfX3Yw=")</f>
        <v>#REF!</v>
      </c>
      <c r="EL64" t="e">
        <f>AND(#REF!,"AAAAADfX3Y0=")</f>
        <v>#REF!</v>
      </c>
      <c r="EM64" t="e">
        <f>AND(#REF!,"AAAAADfX3Y4=")</f>
        <v>#REF!</v>
      </c>
      <c r="EN64" t="e">
        <f>AND(#REF!,"AAAAADfX3Y8=")</f>
        <v>#REF!</v>
      </c>
      <c r="EO64" t="e">
        <f>AND(#REF!,"AAAAADfX3ZA=")</f>
        <v>#REF!</v>
      </c>
      <c r="EP64" t="e">
        <f>AND(#REF!,"AAAAADfX3ZE=")</f>
        <v>#REF!</v>
      </c>
      <c r="EQ64" t="e">
        <f>AND(#REF!,"AAAAADfX3ZI=")</f>
        <v>#REF!</v>
      </c>
      <c r="ER64" t="e">
        <f>AND(#REF!,"AAAAADfX3ZM=")</f>
        <v>#REF!</v>
      </c>
      <c r="ES64" t="e">
        <f>AND(#REF!,"AAAAADfX3ZQ=")</f>
        <v>#REF!</v>
      </c>
      <c r="ET64" t="e">
        <f>AND(#REF!,"AAAAADfX3ZU=")</f>
        <v>#REF!</v>
      </c>
      <c r="EU64" t="e">
        <f>AND(#REF!,"AAAAADfX3ZY=")</f>
        <v>#REF!</v>
      </c>
      <c r="EV64" t="e">
        <f>AND(#REF!,"AAAAADfX3Zc=")</f>
        <v>#REF!</v>
      </c>
      <c r="EW64" t="e">
        <f>AND(#REF!,"AAAAADfX3Zg=")</f>
        <v>#REF!</v>
      </c>
      <c r="EX64" t="e">
        <f>AND(#REF!,"AAAAADfX3Zk=")</f>
        <v>#REF!</v>
      </c>
      <c r="EY64" t="e">
        <f>AND(#REF!,"AAAAADfX3Zo=")</f>
        <v>#REF!</v>
      </c>
      <c r="EZ64" t="e">
        <f>AND(#REF!,"AAAAADfX3Zs=")</f>
        <v>#REF!</v>
      </c>
      <c r="FA64" t="e">
        <f>AND(#REF!,"AAAAADfX3Zw=")</f>
        <v>#REF!</v>
      </c>
      <c r="FB64" t="e">
        <f>AND(#REF!,"AAAAADfX3Z0=")</f>
        <v>#REF!</v>
      </c>
      <c r="FC64" t="e">
        <f>AND(#REF!,"AAAAADfX3Z4=")</f>
        <v>#REF!</v>
      </c>
      <c r="FD64" t="e">
        <f>AND(#REF!,"AAAAADfX3Z8=")</f>
        <v>#REF!</v>
      </c>
      <c r="FE64" t="e">
        <f>AND(#REF!,"AAAAADfX3aA=")</f>
        <v>#REF!</v>
      </c>
      <c r="FF64" t="e">
        <f>IF(#REF!,"AAAAADfX3aE=",0)</f>
        <v>#REF!</v>
      </c>
      <c r="FG64" t="e">
        <f>AND(#REF!,"AAAAADfX3aI=")</f>
        <v>#REF!</v>
      </c>
      <c r="FH64" t="e">
        <f>AND(#REF!,"AAAAADfX3aM=")</f>
        <v>#REF!</v>
      </c>
      <c r="FI64" t="e">
        <f>AND(#REF!,"AAAAADfX3aQ=")</f>
        <v>#REF!</v>
      </c>
      <c r="FJ64" t="e">
        <f>AND(#REF!,"AAAAADfX3aU=")</f>
        <v>#REF!</v>
      </c>
      <c r="FK64" t="e">
        <f>AND(#REF!,"AAAAADfX3aY=")</f>
        <v>#REF!</v>
      </c>
      <c r="FL64" t="e">
        <f>AND(#REF!,"AAAAADfX3ac=")</f>
        <v>#REF!</v>
      </c>
      <c r="FM64" t="e">
        <f>AND(#REF!,"AAAAADfX3ag=")</f>
        <v>#REF!</v>
      </c>
      <c r="FN64" t="e">
        <f>AND(#REF!,"AAAAADfX3ak=")</f>
        <v>#REF!</v>
      </c>
      <c r="FO64" t="e">
        <f>AND(#REF!,"AAAAADfX3ao=")</f>
        <v>#REF!</v>
      </c>
      <c r="FP64" t="e">
        <f>AND(#REF!,"AAAAADfX3as=")</f>
        <v>#REF!</v>
      </c>
      <c r="FQ64" t="e">
        <f>AND(#REF!,"AAAAADfX3aw=")</f>
        <v>#REF!</v>
      </c>
      <c r="FR64" t="e">
        <f>AND(#REF!,"AAAAADfX3a0=")</f>
        <v>#REF!</v>
      </c>
      <c r="FS64" t="e">
        <f>AND(#REF!,"AAAAADfX3a4=")</f>
        <v>#REF!</v>
      </c>
      <c r="FT64" t="e">
        <f>AND(#REF!,"AAAAADfX3a8=")</f>
        <v>#REF!</v>
      </c>
      <c r="FU64" t="e">
        <f>AND(#REF!,"AAAAADfX3bA=")</f>
        <v>#REF!</v>
      </c>
      <c r="FV64" t="e">
        <f>AND(#REF!,"AAAAADfX3bE=")</f>
        <v>#REF!</v>
      </c>
      <c r="FW64" t="e">
        <f>AND(#REF!,"AAAAADfX3bI=")</f>
        <v>#REF!</v>
      </c>
      <c r="FX64" t="e">
        <f>AND(#REF!,"AAAAADfX3bM=")</f>
        <v>#REF!</v>
      </c>
      <c r="FY64" t="e">
        <f>AND(#REF!,"AAAAADfX3bQ=")</f>
        <v>#REF!</v>
      </c>
      <c r="FZ64" t="e">
        <f>AND(#REF!,"AAAAADfX3bU=")</f>
        <v>#REF!</v>
      </c>
      <c r="GA64" t="e">
        <f>AND(#REF!,"AAAAADfX3bY=")</f>
        <v>#REF!</v>
      </c>
      <c r="GB64" t="e">
        <f>AND(#REF!,"AAAAADfX3bc=")</f>
        <v>#REF!</v>
      </c>
      <c r="GC64" t="e">
        <f>AND(#REF!,"AAAAADfX3bg=")</f>
        <v>#REF!</v>
      </c>
      <c r="GD64" t="e">
        <f>IF(#REF!,"AAAAADfX3bk=",0)</f>
        <v>#REF!</v>
      </c>
      <c r="GE64" t="e">
        <f>AND(#REF!,"AAAAADfX3bo=")</f>
        <v>#REF!</v>
      </c>
      <c r="GF64" t="e">
        <f>AND(#REF!,"AAAAADfX3bs=")</f>
        <v>#REF!</v>
      </c>
      <c r="GG64" t="e">
        <f>AND(#REF!,"AAAAADfX3bw=")</f>
        <v>#REF!</v>
      </c>
      <c r="GH64" t="e">
        <f>AND(#REF!,"AAAAADfX3b0=")</f>
        <v>#REF!</v>
      </c>
      <c r="GI64" t="e">
        <f>AND(#REF!,"AAAAADfX3b4=")</f>
        <v>#REF!</v>
      </c>
      <c r="GJ64" t="e">
        <f>AND(#REF!,"AAAAADfX3b8=")</f>
        <v>#REF!</v>
      </c>
      <c r="GK64" t="e">
        <f>AND(#REF!,"AAAAADfX3cA=")</f>
        <v>#REF!</v>
      </c>
      <c r="GL64" t="e">
        <f>AND(#REF!,"AAAAADfX3cE=")</f>
        <v>#REF!</v>
      </c>
      <c r="GM64" t="e">
        <f>AND(#REF!,"AAAAADfX3cI=")</f>
        <v>#REF!</v>
      </c>
      <c r="GN64" t="e">
        <f>AND(#REF!,"AAAAADfX3cM=")</f>
        <v>#REF!</v>
      </c>
      <c r="GO64" t="e">
        <f>AND(#REF!,"AAAAADfX3cQ=")</f>
        <v>#REF!</v>
      </c>
      <c r="GP64" t="e">
        <f>AND(#REF!,"AAAAADfX3cU=")</f>
        <v>#REF!</v>
      </c>
      <c r="GQ64" t="e">
        <f>AND(#REF!,"AAAAADfX3cY=")</f>
        <v>#REF!</v>
      </c>
      <c r="GR64" t="e">
        <f>AND(#REF!,"AAAAADfX3cc=")</f>
        <v>#REF!</v>
      </c>
      <c r="GS64" t="e">
        <f>AND(#REF!,"AAAAADfX3cg=")</f>
        <v>#REF!</v>
      </c>
      <c r="GT64" t="e">
        <f>AND(#REF!,"AAAAADfX3ck=")</f>
        <v>#REF!</v>
      </c>
      <c r="GU64" t="e">
        <f>AND(#REF!,"AAAAADfX3co=")</f>
        <v>#REF!</v>
      </c>
      <c r="GV64" t="e">
        <f>AND(#REF!,"AAAAADfX3cs=")</f>
        <v>#REF!</v>
      </c>
      <c r="GW64" t="e">
        <f>AND(#REF!,"AAAAADfX3cw=")</f>
        <v>#REF!</v>
      </c>
      <c r="GX64" t="e">
        <f>AND(#REF!,"AAAAADfX3c0=")</f>
        <v>#REF!</v>
      </c>
      <c r="GY64" t="e">
        <f>AND(#REF!,"AAAAADfX3c4=")</f>
        <v>#REF!</v>
      </c>
      <c r="GZ64" t="e">
        <f>AND(#REF!,"AAAAADfX3c8=")</f>
        <v>#REF!</v>
      </c>
      <c r="HA64" t="e">
        <f>AND(#REF!,"AAAAADfX3dA=")</f>
        <v>#REF!</v>
      </c>
      <c r="HB64" t="e">
        <f>IF(#REF!,"AAAAADfX3dE=",0)</f>
        <v>#REF!</v>
      </c>
      <c r="HC64" t="e">
        <f>AND(#REF!,"AAAAADfX3dI=")</f>
        <v>#REF!</v>
      </c>
      <c r="HD64" t="e">
        <f>AND(#REF!,"AAAAADfX3dM=")</f>
        <v>#REF!</v>
      </c>
      <c r="HE64" t="e">
        <f>AND(#REF!,"AAAAADfX3dQ=")</f>
        <v>#REF!</v>
      </c>
      <c r="HF64" t="e">
        <f>AND(#REF!,"AAAAADfX3dU=")</f>
        <v>#REF!</v>
      </c>
      <c r="HG64" t="e">
        <f>AND(#REF!,"AAAAADfX3dY=")</f>
        <v>#REF!</v>
      </c>
      <c r="HH64" t="e">
        <f>AND(#REF!,"AAAAADfX3dc=")</f>
        <v>#REF!</v>
      </c>
      <c r="HI64" t="e">
        <f>AND(#REF!,"AAAAADfX3dg=")</f>
        <v>#REF!</v>
      </c>
      <c r="HJ64" t="e">
        <f>AND(#REF!,"AAAAADfX3dk=")</f>
        <v>#REF!</v>
      </c>
      <c r="HK64" t="e">
        <f>AND(#REF!,"AAAAADfX3do=")</f>
        <v>#REF!</v>
      </c>
      <c r="HL64" t="e">
        <f>AND(#REF!,"AAAAADfX3ds=")</f>
        <v>#REF!</v>
      </c>
      <c r="HM64" t="e">
        <f>AND(#REF!,"AAAAADfX3dw=")</f>
        <v>#REF!</v>
      </c>
      <c r="HN64" t="e">
        <f>AND(#REF!,"AAAAADfX3d0=")</f>
        <v>#REF!</v>
      </c>
      <c r="HO64" t="e">
        <f>AND(#REF!,"AAAAADfX3d4=")</f>
        <v>#REF!</v>
      </c>
      <c r="HP64" t="e">
        <f>AND(#REF!,"AAAAADfX3d8=")</f>
        <v>#REF!</v>
      </c>
      <c r="HQ64" t="e">
        <f>AND(#REF!,"AAAAADfX3eA=")</f>
        <v>#REF!</v>
      </c>
      <c r="HR64" t="e">
        <f>AND(#REF!,"AAAAADfX3eE=")</f>
        <v>#REF!</v>
      </c>
      <c r="HS64" t="e">
        <f>AND(#REF!,"AAAAADfX3eI=")</f>
        <v>#REF!</v>
      </c>
      <c r="HT64" t="e">
        <f>AND(#REF!,"AAAAADfX3eM=")</f>
        <v>#REF!</v>
      </c>
      <c r="HU64" t="e">
        <f>AND(#REF!,"AAAAADfX3eQ=")</f>
        <v>#REF!</v>
      </c>
      <c r="HV64" t="e">
        <f>AND(#REF!,"AAAAADfX3eU=")</f>
        <v>#REF!</v>
      </c>
      <c r="HW64" t="e">
        <f>AND(#REF!,"AAAAADfX3eY=")</f>
        <v>#REF!</v>
      </c>
      <c r="HX64" t="e">
        <f>AND(#REF!,"AAAAADfX3ec=")</f>
        <v>#REF!</v>
      </c>
      <c r="HY64" t="e">
        <f>AND(#REF!,"AAAAADfX3eg=")</f>
        <v>#REF!</v>
      </c>
      <c r="HZ64" t="e">
        <f>IF(#REF!,"AAAAADfX3ek=",0)</f>
        <v>#REF!</v>
      </c>
      <c r="IA64" t="e">
        <f>AND(#REF!,"AAAAADfX3eo=")</f>
        <v>#REF!</v>
      </c>
      <c r="IB64" t="e">
        <f>AND(#REF!,"AAAAADfX3es=")</f>
        <v>#REF!</v>
      </c>
      <c r="IC64" t="e">
        <f>AND(#REF!,"AAAAADfX3ew=")</f>
        <v>#REF!</v>
      </c>
      <c r="ID64" t="e">
        <f>AND(#REF!,"AAAAADfX3e0=")</f>
        <v>#REF!</v>
      </c>
      <c r="IE64" t="e">
        <f>AND(#REF!,"AAAAADfX3e4=")</f>
        <v>#REF!</v>
      </c>
      <c r="IF64" t="e">
        <f>AND(#REF!,"AAAAADfX3e8=")</f>
        <v>#REF!</v>
      </c>
      <c r="IG64" t="e">
        <f>AND(#REF!,"AAAAADfX3fA=")</f>
        <v>#REF!</v>
      </c>
      <c r="IH64" t="e">
        <f>AND(#REF!,"AAAAADfX3fE=")</f>
        <v>#REF!</v>
      </c>
      <c r="II64" t="e">
        <f>AND(#REF!,"AAAAADfX3fI=")</f>
        <v>#REF!</v>
      </c>
      <c r="IJ64" t="e">
        <f>AND(#REF!,"AAAAADfX3fM=")</f>
        <v>#REF!</v>
      </c>
      <c r="IK64" t="e">
        <f>AND(#REF!,"AAAAADfX3fQ=")</f>
        <v>#REF!</v>
      </c>
      <c r="IL64" t="e">
        <f>AND(#REF!,"AAAAADfX3fU=")</f>
        <v>#REF!</v>
      </c>
      <c r="IM64" t="e">
        <f>AND(#REF!,"AAAAADfX3fY=")</f>
        <v>#REF!</v>
      </c>
      <c r="IN64" t="e">
        <f>AND(#REF!,"AAAAADfX3fc=")</f>
        <v>#REF!</v>
      </c>
      <c r="IO64" t="e">
        <f>AND(#REF!,"AAAAADfX3fg=")</f>
        <v>#REF!</v>
      </c>
      <c r="IP64" t="e">
        <f>AND(#REF!,"AAAAADfX3fk=")</f>
        <v>#REF!</v>
      </c>
      <c r="IQ64" t="e">
        <f>AND(#REF!,"AAAAADfX3fo=")</f>
        <v>#REF!</v>
      </c>
      <c r="IR64" t="e">
        <f>AND(#REF!,"AAAAADfX3fs=")</f>
        <v>#REF!</v>
      </c>
      <c r="IS64" t="e">
        <f>AND(#REF!,"AAAAADfX3fw=")</f>
        <v>#REF!</v>
      </c>
      <c r="IT64" t="e">
        <f>AND(#REF!,"AAAAADfX3f0=")</f>
        <v>#REF!</v>
      </c>
      <c r="IU64" t="e">
        <f>AND(#REF!,"AAAAADfX3f4=")</f>
        <v>#REF!</v>
      </c>
      <c r="IV64" t="e">
        <f>AND(#REF!,"AAAAADfX3f8=")</f>
        <v>#REF!</v>
      </c>
    </row>
    <row r="65" spans="1:256" x14ac:dyDescent="0.25">
      <c r="A65" t="e">
        <f>AND(#REF!,"AAAAAH/2vwA=")</f>
        <v>#REF!</v>
      </c>
      <c r="B65" t="e">
        <f>IF(#REF!,"AAAAAH/2vwE=",0)</f>
        <v>#REF!</v>
      </c>
      <c r="C65" t="e">
        <f>AND(#REF!,"AAAAAH/2vwI=")</f>
        <v>#REF!</v>
      </c>
      <c r="D65" t="e">
        <f>AND(#REF!,"AAAAAH/2vwM=")</f>
        <v>#REF!</v>
      </c>
      <c r="E65" t="e">
        <f>AND(#REF!,"AAAAAH/2vwQ=")</f>
        <v>#REF!</v>
      </c>
      <c r="F65" t="e">
        <f>AND(#REF!,"AAAAAH/2vwU=")</f>
        <v>#REF!</v>
      </c>
      <c r="G65" t="e">
        <f>AND(#REF!,"AAAAAH/2vwY=")</f>
        <v>#REF!</v>
      </c>
      <c r="H65" t="e">
        <f>AND(#REF!,"AAAAAH/2vwc=")</f>
        <v>#REF!</v>
      </c>
      <c r="I65" t="e">
        <f>AND(#REF!,"AAAAAH/2vwg=")</f>
        <v>#REF!</v>
      </c>
      <c r="J65" t="e">
        <f>AND(#REF!,"AAAAAH/2vwk=")</f>
        <v>#REF!</v>
      </c>
      <c r="K65" t="e">
        <f>AND(#REF!,"AAAAAH/2vwo=")</f>
        <v>#REF!</v>
      </c>
      <c r="L65" t="e">
        <f>AND(#REF!,"AAAAAH/2vws=")</f>
        <v>#REF!</v>
      </c>
      <c r="M65" t="e">
        <f>AND(#REF!,"AAAAAH/2vww=")</f>
        <v>#REF!</v>
      </c>
      <c r="N65" t="e">
        <f>AND(#REF!,"AAAAAH/2vw0=")</f>
        <v>#REF!</v>
      </c>
      <c r="O65" t="e">
        <f>AND(#REF!,"AAAAAH/2vw4=")</f>
        <v>#REF!</v>
      </c>
      <c r="P65" t="e">
        <f>AND(#REF!,"AAAAAH/2vw8=")</f>
        <v>#REF!</v>
      </c>
      <c r="Q65" t="e">
        <f>AND(#REF!,"AAAAAH/2vxA=")</f>
        <v>#REF!</v>
      </c>
      <c r="R65" t="e">
        <f>AND(#REF!,"AAAAAH/2vxE=")</f>
        <v>#REF!</v>
      </c>
      <c r="S65" t="e">
        <f>AND(#REF!,"AAAAAH/2vxI=")</f>
        <v>#REF!</v>
      </c>
      <c r="T65" t="e">
        <f>AND(#REF!,"AAAAAH/2vxM=")</f>
        <v>#REF!</v>
      </c>
      <c r="U65" t="e">
        <f>AND(#REF!,"AAAAAH/2vxQ=")</f>
        <v>#REF!</v>
      </c>
      <c r="V65" t="e">
        <f>AND(#REF!,"AAAAAH/2vxU=")</f>
        <v>#REF!</v>
      </c>
      <c r="W65" t="e">
        <f>AND(#REF!,"AAAAAH/2vxY=")</f>
        <v>#REF!</v>
      </c>
      <c r="X65" t="e">
        <f>AND(#REF!,"AAAAAH/2vxc=")</f>
        <v>#REF!</v>
      </c>
      <c r="Y65" t="e">
        <f>AND(#REF!,"AAAAAH/2vxg=")</f>
        <v>#REF!</v>
      </c>
      <c r="Z65" t="e">
        <f>IF(#REF!,"AAAAAH/2vxk=",0)</f>
        <v>#REF!</v>
      </c>
      <c r="AA65" t="e">
        <f>AND(#REF!,"AAAAAH/2vxo=")</f>
        <v>#REF!</v>
      </c>
      <c r="AB65" t="e">
        <f>AND(#REF!,"AAAAAH/2vxs=")</f>
        <v>#REF!</v>
      </c>
      <c r="AC65" t="e">
        <f>AND(#REF!,"AAAAAH/2vxw=")</f>
        <v>#REF!</v>
      </c>
      <c r="AD65" t="e">
        <f>AND(#REF!,"AAAAAH/2vx0=")</f>
        <v>#REF!</v>
      </c>
      <c r="AE65" t="e">
        <f>AND(#REF!,"AAAAAH/2vx4=")</f>
        <v>#REF!</v>
      </c>
      <c r="AF65" t="e">
        <f>AND(#REF!,"AAAAAH/2vx8=")</f>
        <v>#REF!</v>
      </c>
      <c r="AG65" t="e">
        <f>AND(#REF!,"AAAAAH/2vyA=")</f>
        <v>#REF!</v>
      </c>
      <c r="AH65" t="e">
        <f>AND(#REF!,"AAAAAH/2vyE=")</f>
        <v>#REF!</v>
      </c>
      <c r="AI65" t="e">
        <f>AND(#REF!,"AAAAAH/2vyI=")</f>
        <v>#REF!</v>
      </c>
      <c r="AJ65" t="e">
        <f>AND(#REF!,"AAAAAH/2vyM=")</f>
        <v>#REF!</v>
      </c>
      <c r="AK65" t="e">
        <f>AND(#REF!,"AAAAAH/2vyQ=")</f>
        <v>#REF!</v>
      </c>
      <c r="AL65" t="e">
        <f>AND(#REF!,"AAAAAH/2vyU=")</f>
        <v>#REF!</v>
      </c>
      <c r="AM65" t="e">
        <f>AND(#REF!,"AAAAAH/2vyY=")</f>
        <v>#REF!</v>
      </c>
      <c r="AN65" t="e">
        <f>AND(#REF!,"AAAAAH/2vyc=")</f>
        <v>#REF!</v>
      </c>
      <c r="AO65" t="e">
        <f>AND(#REF!,"AAAAAH/2vyg=")</f>
        <v>#REF!</v>
      </c>
      <c r="AP65" t="e">
        <f>AND(#REF!,"AAAAAH/2vyk=")</f>
        <v>#REF!</v>
      </c>
      <c r="AQ65" t="e">
        <f>AND(#REF!,"AAAAAH/2vyo=")</f>
        <v>#REF!</v>
      </c>
      <c r="AR65" t="e">
        <f>AND(#REF!,"AAAAAH/2vys=")</f>
        <v>#REF!</v>
      </c>
      <c r="AS65" t="e">
        <f>AND(#REF!,"AAAAAH/2vyw=")</f>
        <v>#REF!</v>
      </c>
      <c r="AT65" t="e">
        <f>AND(#REF!,"AAAAAH/2vy0=")</f>
        <v>#REF!</v>
      </c>
      <c r="AU65" t="e">
        <f>AND(#REF!,"AAAAAH/2vy4=")</f>
        <v>#REF!</v>
      </c>
      <c r="AV65" t="e">
        <f>AND(#REF!,"AAAAAH/2vy8=")</f>
        <v>#REF!</v>
      </c>
      <c r="AW65" t="e">
        <f>AND(#REF!,"AAAAAH/2vzA=")</f>
        <v>#REF!</v>
      </c>
      <c r="AX65" t="e">
        <f>IF(#REF!,"AAAAAH/2vzE=",0)</f>
        <v>#REF!</v>
      </c>
      <c r="AY65" t="e">
        <f>AND(#REF!,"AAAAAH/2vzI=")</f>
        <v>#REF!</v>
      </c>
      <c r="AZ65" t="e">
        <f>AND(#REF!,"AAAAAH/2vzM=")</f>
        <v>#REF!</v>
      </c>
      <c r="BA65" t="e">
        <f>AND(#REF!,"AAAAAH/2vzQ=")</f>
        <v>#REF!</v>
      </c>
      <c r="BB65" t="e">
        <f>AND(#REF!,"AAAAAH/2vzU=")</f>
        <v>#REF!</v>
      </c>
      <c r="BC65" t="e">
        <f>AND(#REF!,"AAAAAH/2vzY=")</f>
        <v>#REF!</v>
      </c>
      <c r="BD65" t="e">
        <f>AND(#REF!,"AAAAAH/2vzc=")</f>
        <v>#REF!</v>
      </c>
      <c r="BE65" t="e">
        <f>AND(#REF!,"AAAAAH/2vzg=")</f>
        <v>#REF!</v>
      </c>
      <c r="BF65" t="e">
        <f>AND(#REF!,"AAAAAH/2vzk=")</f>
        <v>#REF!</v>
      </c>
      <c r="BG65" t="e">
        <f>AND(#REF!,"AAAAAH/2vzo=")</f>
        <v>#REF!</v>
      </c>
      <c r="BH65" t="e">
        <f>AND(#REF!,"AAAAAH/2vzs=")</f>
        <v>#REF!</v>
      </c>
      <c r="BI65" t="e">
        <f>AND(#REF!,"AAAAAH/2vzw=")</f>
        <v>#REF!</v>
      </c>
      <c r="BJ65" t="e">
        <f>AND(#REF!,"AAAAAH/2vz0=")</f>
        <v>#REF!</v>
      </c>
      <c r="BK65" t="e">
        <f>AND(#REF!,"AAAAAH/2vz4=")</f>
        <v>#REF!</v>
      </c>
      <c r="BL65" t="e">
        <f>AND(#REF!,"AAAAAH/2vz8=")</f>
        <v>#REF!</v>
      </c>
      <c r="BM65" t="e">
        <f>AND(#REF!,"AAAAAH/2v0A=")</f>
        <v>#REF!</v>
      </c>
      <c r="BN65" t="e">
        <f>AND(#REF!,"AAAAAH/2v0E=")</f>
        <v>#REF!</v>
      </c>
      <c r="BO65" t="e">
        <f>AND(#REF!,"AAAAAH/2v0I=")</f>
        <v>#REF!</v>
      </c>
      <c r="BP65" t="e">
        <f>AND(#REF!,"AAAAAH/2v0M=")</f>
        <v>#REF!</v>
      </c>
      <c r="BQ65" t="e">
        <f>AND(#REF!,"AAAAAH/2v0Q=")</f>
        <v>#REF!</v>
      </c>
      <c r="BR65" t="e">
        <f>AND(#REF!,"AAAAAH/2v0U=")</f>
        <v>#REF!</v>
      </c>
      <c r="BS65" t="e">
        <f>AND(#REF!,"AAAAAH/2v0Y=")</f>
        <v>#REF!</v>
      </c>
      <c r="BT65" t="e">
        <f>AND(#REF!,"AAAAAH/2v0c=")</f>
        <v>#REF!</v>
      </c>
      <c r="BU65" t="e">
        <f>AND(#REF!,"AAAAAH/2v0g=")</f>
        <v>#REF!</v>
      </c>
      <c r="BV65" t="e">
        <f>IF(#REF!,"AAAAAH/2v0k=",0)</f>
        <v>#REF!</v>
      </c>
      <c r="BW65" t="e">
        <f>AND(#REF!,"AAAAAH/2v0o=")</f>
        <v>#REF!</v>
      </c>
      <c r="BX65" t="e">
        <f>AND(#REF!,"AAAAAH/2v0s=")</f>
        <v>#REF!</v>
      </c>
      <c r="BY65" t="e">
        <f>AND(#REF!,"AAAAAH/2v0w=")</f>
        <v>#REF!</v>
      </c>
      <c r="BZ65" t="e">
        <f>AND(#REF!,"AAAAAH/2v00=")</f>
        <v>#REF!</v>
      </c>
      <c r="CA65" t="e">
        <f>AND(#REF!,"AAAAAH/2v04=")</f>
        <v>#REF!</v>
      </c>
      <c r="CB65" t="e">
        <f>AND(#REF!,"AAAAAH/2v08=")</f>
        <v>#REF!</v>
      </c>
      <c r="CC65" t="e">
        <f>AND(#REF!,"AAAAAH/2v1A=")</f>
        <v>#REF!</v>
      </c>
      <c r="CD65" t="e">
        <f>AND(#REF!,"AAAAAH/2v1E=")</f>
        <v>#REF!</v>
      </c>
      <c r="CE65" t="e">
        <f>AND(#REF!,"AAAAAH/2v1I=")</f>
        <v>#REF!</v>
      </c>
      <c r="CF65" t="e">
        <f>AND(#REF!,"AAAAAH/2v1M=")</f>
        <v>#REF!</v>
      </c>
      <c r="CG65" t="e">
        <f>AND(#REF!,"AAAAAH/2v1Q=")</f>
        <v>#REF!</v>
      </c>
      <c r="CH65" t="e">
        <f>AND(#REF!,"AAAAAH/2v1U=")</f>
        <v>#REF!</v>
      </c>
      <c r="CI65" t="e">
        <f>AND(#REF!,"AAAAAH/2v1Y=")</f>
        <v>#REF!</v>
      </c>
      <c r="CJ65" t="e">
        <f>AND(#REF!,"AAAAAH/2v1c=")</f>
        <v>#REF!</v>
      </c>
      <c r="CK65" t="e">
        <f>AND(#REF!,"AAAAAH/2v1g=")</f>
        <v>#REF!</v>
      </c>
      <c r="CL65" t="e">
        <f>AND(#REF!,"AAAAAH/2v1k=")</f>
        <v>#REF!</v>
      </c>
      <c r="CM65" t="e">
        <f>AND(#REF!,"AAAAAH/2v1o=")</f>
        <v>#REF!</v>
      </c>
      <c r="CN65" t="e">
        <f>AND(#REF!,"AAAAAH/2v1s=")</f>
        <v>#REF!</v>
      </c>
      <c r="CO65" t="e">
        <f>AND(#REF!,"AAAAAH/2v1w=")</f>
        <v>#REF!</v>
      </c>
      <c r="CP65" t="e">
        <f>AND(#REF!,"AAAAAH/2v10=")</f>
        <v>#REF!</v>
      </c>
      <c r="CQ65" t="e">
        <f>AND(#REF!,"AAAAAH/2v14=")</f>
        <v>#REF!</v>
      </c>
      <c r="CR65" t="e">
        <f>AND(#REF!,"AAAAAH/2v18=")</f>
        <v>#REF!</v>
      </c>
      <c r="CS65" t="e">
        <f>AND(#REF!,"AAAAAH/2v2A=")</f>
        <v>#REF!</v>
      </c>
      <c r="CT65" t="e">
        <f>IF(#REF!,"AAAAAH/2v2E=",0)</f>
        <v>#REF!</v>
      </c>
      <c r="CU65" t="e">
        <f>AND(#REF!,"AAAAAH/2v2I=")</f>
        <v>#REF!</v>
      </c>
      <c r="CV65" t="e">
        <f>AND(#REF!,"AAAAAH/2v2M=")</f>
        <v>#REF!</v>
      </c>
      <c r="CW65" t="e">
        <f>AND(#REF!,"AAAAAH/2v2Q=")</f>
        <v>#REF!</v>
      </c>
      <c r="CX65" t="e">
        <f>AND(#REF!,"AAAAAH/2v2U=")</f>
        <v>#REF!</v>
      </c>
      <c r="CY65" t="e">
        <f>AND(#REF!,"AAAAAH/2v2Y=")</f>
        <v>#REF!</v>
      </c>
      <c r="CZ65" t="e">
        <f>AND(#REF!,"AAAAAH/2v2c=")</f>
        <v>#REF!</v>
      </c>
      <c r="DA65" t="e">
        <f>AND(#REF!,"AAAAAH/2v2g=")</f>
        <v>#REF!</v>
      </c>
      <c r="DB65" t="e">
        <f>AND(#REF!,"AAAAAH/2v2k=")</f>
        <v>#REF!</v>
      </c>
      <c r="DC65" t="e">
        <f>AND(#REF!,"AAAAAH/2v2o=")</f>
        <v>#REF!</v>
      </c>
      <c r="DD65" t="e">
        <f>AND(#REF!,"AAAAAH/2v2s=")</f>
        <v>#REF!</v>
      </c>
      <c r="DE65" t="e">
        <f>AND(#REF!,"AAAAAH/2v2w=")</f>
        <v>#REF!</v>
      </c>
      <c r="DF65" t="e">
        <f>AND(#REF!,"AAAAAH/2v20=")</f>
        <v>#REF!</v>
      </c>
      <c r="DG65" t="e">
        <f>AND(#REF!,"AAAAAH/2v24=")</f>
        <v>#REF!</v>
      </c>
      <c r="DH65" t="e">
        <f>AND(#REF!,"AAAAAH/2v28=")</f>
        <v>#REF!</v>
      </c>
      <c r="DI65" t="e">
        <f>AND(#REF!,"AAAAAH/2v3A=")</f>
        <v>#REF!</v>
      </c>
      <c r="DJ65" t="e">
        <f>AND(#REF!,"AAAAAH/2v3E=")</f>
        <v>#REF!</v>
      </c>
      <c r="DK65" t="e">
        <f>AND(#REF!,"AAAAAH/2v3I=")</f>
        <v>#REF!</v>
      </c>
      <c r="DL65" t="e">
        <f>AND(#REF!,"AAAAAH/2v3M=")</f>
        <v>#REF!</v>
      </c>
      <c r="DM65" t="e">
        <f>AND(#REF!,"AAAAAH/2v3Q=")</f>
        <v>#REF!</v>
      </c>
      <c r="DN65" t="e">
        <f>AND(#REF!,"AAAAAH/2v3U=")</f>
        <v>#REF!</v>
      </c>
      <c r="DO65" t="e">
        <f>AND(#REF!,"AAAAAH/2v3Y=")</f>
        <v>#REF!</v>
      </c>
      <c r="DP65" t="e">
        <f>AND(#REF!,"AAAAAH/2v3c=")</f>
        <v>#REF!</v>
      </c>
      <c r="DQ65" t="e">
        <f>AND(#REF!,"AAAAAH/2v3g=")</f>
        <v>#REF!</v>
      </c>
      <c r="DR65" t="e">
        <f>IF(#REF!,"AAAAAH/2v3k=",0)</f>
        <v>#REF!</v>
      </c>
      <c r="DS65" t="e">
        <f>AND(#REF!,"AAAAAH/2v3o=")</f>
        <v>#REF!</v>
      </c>
      <c r="DT65" t="e">
        <f>AND(#REF!,"AAAAAH/2v3s=")</f>
        <v>#REF!</v>
      </c>
      <c r="DU65" t="e">
        <f>AND(#REF!,"AAAAAH/2v3w=")</f>
        <v>#REF!</v>
      </c>
      <c r="DV65" t="e">
        <f>AND(#REF!,"AAAAAH/2v30=")</f>
        <v>#REF!</v>
      </c>
      <c r="DW65" t="e">
        <f>AND(#REF!,"AAAAAH/2v34=")</f>
        <v>#REF!</v>
      </c>
      <c r="DX65" t="e">
        <f>AND(#REF!,"AAAAAH/2v38=")</f>
        <v>#REF!</v>
      </c>
      <c r="DY65" t="e">
        <f>AND(#REF!,"AAAAAH/2v4A=")</f>
        <v>#REF!</v>
      </c>
      <c r="DZ65" t="e">
        <f>AND(#REF!,"AAAAAH/2v4E=")</f>
        <v>#REF!</v>
      </c>
      <c r="EA65" t="e">
        <f>AND(#REF!,"AAAAAH/2v4I=")</f>
        <v>#REF!</v>
      </c>
      <c r="EB65" t="e">
        <f>AND(#REF!,"AAAAAH/2v4M=")</f>
        <v>#REF!</v>
      </c>
      <c r="EC65" t="e">
        <f>AND(#REF!,"AAAAAH/2v4Q=")</f>
        <v>#REF!</v>
      </c>
      <c r="ED65" t="e">
        <f>AND(#REF!,"AAAAAH/2v4U=")</f>
        <v>#REF!</v>
      </c>
      <c r="EE65" t="e">
        <f>AND(#REF!,"AAAAAH/2v4Y=")</f>
        <v>#REF!</v>
      </c>
      <c r="EF65" t="e">
        <f>AND(#REF!,"AAAAAH/2v4c=")</f>
        <v>#REF!</v>
      </c>
      <c r="EG65" t="e">
        <f>AND(#REF!,"AAAAAH/2v4g=")</f>
        <v>#REF!</v>
      </c>
      <c r="EH65" t="e">
        <f>AND(#REF!,"AAAAAH/2v4k=")</f>
        <v>#REF!</v>
      </c>
      <c r="EI65" t="e">
        <f>AND(#REF!,"AAAAAH/2v4o=")</f>
        <v>#REF!</v>
      </c>
      <c r="EJ65" t="e">
        <f>AND(#REF!,"AAAAAH/2v4s=")</f>
        <v>#REF!</v>
      </c>
      <c r="EK65" t="e">
        <f>AND(#REF!,"AAAAAH/2v4w=")</f>
        <v>#REF!</v>
      </c>
      <c r="EL65" t="e">
        <f>AND(#REF!,"AAAAAH/2v40=")</f>
        <v>#REF!</v>
      </c>
      <c r="EM65" t="e">
        <f>AND(#REF!,"AAAAAH/2v44=")</f>
        <v>#REF!</v>
      </c>
      <c r="EN65" t="e">
        <f>AND(#REF!,"AAAAAH/2v48=")</f>
        <v>#REF!</v>
      </c>
      <c r="EO65" t="e">
        <f>AND(#REF!,"AAAAAH/2v5A=")</f>
        <v>#REF!</v>
      </c>
      <c r="EP65" t="e">
        <f>IF(#REF!,"AAAAAH/2v5E=",0)</f>
        <v>#REF!</v>
      </c>
      <c r="EQ65" t="e">
        <f>AND(#REF!,"AAAAAH/2v5I=")</f>
        <v>#REF!</v>
      </c>
      <c r="ER65" t="e">
        <f>AND(#REF!,"AAAAAH/2v5M=")</f>
        <v>#REF!</v>
      </c>
      <c r="ES65" t="e">
        <f>AND(#REF!,"AAAAAH/2v5Q=")</f>
        <v>#REF!</v>
      </c>
      <c r="ET65" t="e">
        <f>AND(#REF!,"AAAAAH/2v5U=")</f>
        <v>#REF!</v>
      </c>
      <c r="EU65" t="e">
        <f>AND(#REF!,"AAAAAH/2v5Y=")</f>
        <v>#REF!</v>
      </c>
      <c r="EV65" t="e">
        <f>AND(#REF!,"AAAAAH/2v5c=")</f>
        <v>#REF!</v>
      </c>
      <c r="EW65" t="e">
        <f>AND(#REF!,"AAAAAH/2v5g=")</f>
        <v>#REF!</v>
      </c>
      <c r="EX65" t="e">
        <f>AND(#REF!,"AAAAAH/2v5k=")</f>
        <v>#REF!</v>
      </c>
      <c r="EY65" t="e">
        <f>AND(#REF!,"AAAAAH/2v5o=")</f>
        <v>#REF!</v>
      </c>
      <c r="EZ65" t="e">
        <f>AND(#REF!,"AAAAAH/2v5s=")</f>
        <v>#REF!</v>
      </c>
      <c r="FA65" t="e">
        <f>AND(#REF!,"AAAAAH/2v5w=")</f>
        <v>#REF!</v>
      </c>
      <c r="FB65" t="e">
        <f>AND(#REF!,"AAAAAH/2v50=")</f>
        <v>#REF!</v>
      </c>
      <c r="FC65" t="e">
        <f>AND(#REF!,"AAAAAH/2v54=")</f>
        <v>#REF!</v>
      </c>
      <c r="FD65" t="e">
        <f>AND(#REF!,"AAAAAH/2v58=")</f>
        <v>#REF!</v>
      </c>
      <c r="FE65" t="e">
        <f>AND(#REF!,"AAAAAH/2v6A=")</f>
        <v>#REF!</v>
      </c>
      <c r="FF65" t="e">
        <f>AND(#REF!,"AAAAAH/2v6E=")</f>
        <v>#REF!</v>
      </c>
      <c r="FG65" t="e">
        <f>AND(#REF!,"AAAAAH/2v6I=")</f>
        <v>#REF!</v>
      </c>
      <c r="FH65" t="e">
        <f>AND(#REF!,"AAAAAH/2v6M=")</f>
        <v>#REF!</v>
      </c>
      <c r="FI65" t="e">
        <f>AND(#REF!,"AAAAAH/2v6Q=")</f>
        <v>#REF!</v>
      </c>
      <c r="FJ65" t="e">
        <f>AND(#REF!,"AAAAAH/2v6U=")</f>
        <v>#REF!</v>
      </c>
      <c r="FK65" t="e">
        <f>AND(#REF!,"AAAAAH/2v6Y=")</f>
        <v>#REF!</v>
      </c>
      <c r="FL65" t="e">
        <f>AND(#REF!,"AAAAAH/2v6c=")</f>
        <v>#REF!</v>
      </c>
      <c r="FM65" t="e">
        <f>AND(#REF!,"AAAAAH/2v6g=")</f>
        <v>#REF!</v>
      </c>
      <c r="FN65" t="e">
        <f>IF(#REF!,"AAAAAH/2v6k=",0)</f>
        <v>#REF!</v>
      </c>
      <c r="FO65" t="e">
        <f>AND(#REF!,"AAAAAH/2v6o=")</f>
        <v>#REF!</v>
      </c>
      <c r="FP65" t="e">
        <f>AND(#REF!,"AAAAAH/2v6s=")</f>
        <v>#REF!</v>
      </c>
      <c r="FQ65" t="e">
        <f>AND(#REF!,"AAAAAH/2v6w=")</f>
        <v>#REF!</v>
      </c>
      <c r="FR65" t="e">
        <f>AND(#REF!,"AAAAAH/2v60=")</f>
        <v>#REF!</v>
      </c>
      <c r="FS65" t="e">
        <f>AND(#REF!,"AAAAAH/2v64=")</f>
        <v>#REF!</v>
      </c>
      <c r="FT65" t="e">
        <f>AND(#REF!,"AAAAAH/2v68=")</f>
        <v>#REF!</v>
      </c>
      <c r="FU65" t="e">
        <f>AND(#REF!,"AAAAAH/2v7A=")</f>
        <v>#REF!</v>
      </c>
      <c r="FV65" t="e">
        <f>AND(#REF!,"AAAAAH/2v7E=")</f>
        <v>#REF!</v>
      </c>
      <c r="FW65" t="e">
        <f>AND(#REF!,"AAAAAH/2v7I=")</f>
        <v>#REF!</v>
      </c>
      <c r="FX65" t="e">
        <f>AND(#REF!,"AAAAAH/2v7M=")</f>
        <v>#REF!</v>
      </c>
      <c r="FY65" t="e">
        <f>AND(#REF!,"AAAAAH/2v7Q=")</f>
        <v>#REF!</v>
      </c>
      <c r="FZ65" t="e">
        <f>AND(#REF!,"AAAAAH/2v7U=")</f>
        <v>#REF!</v>
      </c>
      <c r="GA65" t="e">
        <f>AND(#REF!,"AAAAAH/2v7Y=")</f>
        <v>#REF!</v>
      </c>
      <c r="GB65" t="e">
        <f>AND(#REF!,"AAAAAH/2v7c=")</f>
        <v>#REF!</v>
      </c>
      <c r="GC65" t="e">
        <f>AND(#REF!,"AAAAAH/2v7g=")</f>
        <v>#REF!</v>
      </c>
      <c r="GD65" t="e">
        <f>AND(#REF!,"AAAAAH/2v7k=")</f>
        <v>#REF!</v>
      </c>
      <c r="GE65" t="e">
        <f>AND(#REF!,"AAAAAH/2v7o=")</f>
        <v>#REF!</v>
      </c>
      <c r="GF65" t="e">
        <f>AND(#REF!,"AAAAAH/2v7s=")</f>
        <v>#REF!</v>
      </c>
      <c r="GG65" t="e">
        <f>AND(#REF!,"AAAAAH/2v7w=")</f>
        <v>#REF!</v>
      </c>
      <c r="GH65" t="e">
        <f>AND(#REF!,"AAAAAH/2v70=")</f>
        <v>#REF!</v>
      </c>
      <c r="GI65" t="e">
        <f>AND(#REF!,"AAAAAH/2v74=")</f>
        <v>#REF!</v>
      </c>
      <c r="GJ65" t="e">
        <f>AND(#REF!,"AAAAAH/2v78=")</f>
        <v>#REF!</v>
      </c>
      <c r="GK65" t="e">
        <f>AND(#REF!,"AAAAAH/2v8A=")</f>
        <v>#REF!</v>
      </c>
      <c r="GL65" t="e">
        <f>IF(#REF!,"AAAAAH/2v8E=",0)</f>
        <v>#REF!</v>
      </c>
      <c r="GM65" t="e">
        <f>AND(#REF!,"AAAAAH/2v8I=")</f>
        <v>#REF!</v>
      </c>
      <c r="GN65" t="e">
        <f>AND(#REF!,"AAAAAH/2v8M=")</f>
        <v>#REF!</v>
      </c>
      <c r="GO65" t="e">
        <f>AND(#REF!,"AAAAAH/2v8Q=")</f>
        <v>#REF!</v>
      </c>
      <c r="GP65" t="e">
        <f>AND(#REF!,"AAAAAH/2v8U=")</f>
        <v>#REF!</v>
      </c>
      <c r="GQ65" t="e">
        <f>AND(#REF!,"AAAAAH/2v8Y=")</f>
        <v>#REF!</v>
      </c>
      <c r="GR65" t="e">
        <f>AND(#REF!,"AAAAAH/2v8c=")</f>
        <v>#REF!</v>
      </c>
      <c r="GS65" t="e">
        <f>AND(#REF!,"AAAAAH/2v8g=")</f>
        <v>#REF!</v>
      </c>
      <c r="GT65" t="e">
        <f>AND(#REF!,"AAAAAH/2v8k=")</f>
        <v>#REF!</v>
      </c>
      <c r="GU65" t="e">
        <f>AND(#REF!,"AAAAAH/2v8o=")</f>
        <v>#REF!</v>
      </c>
      <c r="GV65" t="e">
        <f>AND(#REF!,"AAAAAH/2v8s=")</f>
        <v>#REF!</v>
      </c>
      <c r="GW65" t="e">
        <f>AND(#REF!,"AAAAAH/2v8w=")</f>
        <v>#REF!</v>
      </c>
      <c r="GX65" t="e">
        <f>AND(#REF!,"AAAAAH/2v80=")</f>
        <v>#REF!</v>
      </c>
      <c r="GY65" t="e">
        <f>AND(#REF!,"AAAAAH/2v84=")</f>
        <v>#REF!</v>
      </c>
      <c r="GZ65" t="e">
        <f>AND(#REF!,"AAAAAH/2v88=")</f>
        <v>#REF!</v>
      </c>
      <c r="HA65" t="e">
        <f>AND(#REF!,"AAAAAH/2v9A=")</f>
        <v>#REF!</v>
      </c>
      <c r="HB65" t="e">
        <f>AND(#REF!,"AAAAAH/2v9E=")</f>
        <v>#REF!</v>
      </c>
      <c r="HC65" t="e">
        <f>AND(#REF!,"AAAAAH/2v9I=")</f>
        <v>#REF!</v>
      </c>
      <c r="HD65" t="e">
        <f>AND(#REF!,"AAAAAH/2v9M=")</f>
        <v>#REF!</v>
      </c>
      <c r="HE65" t="e">
        <f>AND(#REF!,"AAAAAH/2v9Q=")</f>
        <v>#REF!</v>
      </c>
      <c r="HF65" t="e">
        <f>AND(#REF!,"AAAAAH/2v9U=")</f>
        <v>#REF!</v>
      </c>
      <c r="HG65" t="e">
        <f>AND(#REF!,"AAAAAH/2v9Y=")</f>
        <v>#REF!</v>
      </c>
      <c r="HH65" t="e">
        <f>AND(#REF!,"AAAAAH/2v9c=")</f>
        <v>#REF!</v>
      </c>
      <c r="HI65" t="e">
        <f>AND(#REF!,"AAAAAH/2v9g=")</f>
        <v>#REF!</v>
      </c>
      <c r="HJ65" t="e">
        <f>IF(#REF!,"AAAAAH/2v9k=",0)</f>
        <v>#REF!</v>
      </c>
      <c r="HK65" t="e">
        <f>AND(#REF!,"AAAAAH/2v9o=")</f>
        <v>#REF!</v>
      </c>
      <c r="HL65" t="e">
        <f>AND(#REF!,"AAAAAH/2v9s=")</f>
        <v>#REF!</v>
      </c>
      <c r="HM65" t="e">
        <f>AND(#REF!,"AAAAAH/2v9w=")</f>
        <v>#REF!</v>
      </c>
      <c r="HN65" t="e">
        <f>AND(#REF!,"AAAAAH/2v90=")</f>
        <v>#REF!</v>
      </c>
      <c r="HO65" t="e">
        <f>AND(#REF!,"AAAAAH/2v94=")</f>
        <v>#REF!</v>
      </c>
      <c r="HP65" t="e">
        <f>AND(#REF!,"AAAAAH/2v98=")</f>
        <v>#REF!</v>
      </c>
      <c r="HQ65" t="e">
        <f>AND(#REF!,"AAAAAH/2v+A=")</f>
        <v>#REF!</v>
      </c>
      <c r="HR65" t="e">
        <f>AND(#REF!,"AAAAAH/2v+E=")</f>
        <v>#REF!</v>
      </c>
      <c r="HS65" t="e">
        <f>AND(#REF!,"AAAAAH/2v+I=")</f>
        <v>#REF!</v>
      </c>
      <c r="HT65" t="e">
        <f>AND(#REF!,"AAAAAH/2v+M=")</f>
        <v>#REF!</v>
      </c>
      <c r="HU65" t="e">
        <f>AND(#REF!,"AAAAAH/2v+Q=")</f>
        <v>#REF!</v>
      </c>
      <c r="HV65" t="e">
        <f>AND(#REF!,"AAAAAH/2v+U=")</f>
        <v>#REF!</v>
      </c>
      <c r="HW65" t="e">
        <f>AND(#REF!,"AAAAAH/2v+Y=")</f>
        <v>#REF!</v>
      </c>
      <c r="HX65" t="e">
        <f>AND(#REF!,"AAAAAH/2v+c=")</f>
        <v>#REF!</v>
      </c>
      <c r="HY65" t="e">
        <f>AND(#REF!,"AAAAAH/2v+g=")</f>
        <v>#REF!</v>
      </c>
      <c r="HZ65" t="e">
        <f>AND(#REF!,"AAAAAH/2v+k=")</f>
        <v>#REF!</v>
      </c>
      <c r="IA65" t="e">
        <f>AND(#REF!,"AAAAAH/2v+o=")</f>
        <v>#REF!</v>
      </c>
      <c r="IB65" t="e">
        <f>AND(#REF!,"AAAAAH/2v+s=")</f>
        <v>#REF!</v>
      </c>
      <c r="IC65" t="e">
        <f>AND(#REF!,"AAAAAH/2v+w=")</f>
        <v>#REF!</v>
      </c>
      <c r="ID65" t="e">
        <f>AND(#REF!,"AAAAAH/2v+0=")</f>
        <v>#REF!</v>
      </c>
      <c r="IE65" t="e">
        <f>AND(#REF!,"AAAAAH/2v+4=")</f>
        <v>#REF!</v>
      </c>
      <c r="IF65" t="e">
        <f>AND(#REF!,"AAAAAH/2v+8=")</f>
        <v>#REF!</v>
      </c>
      <c r="IG65" t="e">
        <f>AND(#REF!,"AAAAAH/2v/A=")</f>
        <v>#REF!</v>
      </c>
      <c r="IH65" t="e">
        <f>IF(#REF!,"AAAAAH/2v/E=",0)</f>
        <v>#REF!</v>
      </c>
      <c r="II65" t="e">
        <f>AND(#REF!,"AAAAAH/2v/I=")</f>
        <v>#REF!</v>
      </c>
      <c r="IJ65" t="e">
        <f>AND(#REF!,"AAAAAH/2v/M=")</f>
        <v>#REF!</v>
      </c>
      <c r="IK65" t="e">
        <f>AND(#REF!,"AAAAAH/2v/Q=")</f>
        <v>#REF!</v>
      </c>
      <c r="IL65" t="e">
        <f>AND(#REF!,"AAAAAH/2v/U=")</f>
        <v>#REF!</v>
      </c>
      <c r="IM65" t="e">
        <f>AND(#REF!,"AAAAAH/2v/Y=")</f>
        <v>#REF!</v>
      </c>
      <c r="IN65" t="e">
        <f>AND(#REF!,"AAAAAH/2v/c=")</f>
        <v>#REF!</v>
      </c>
      <c r="IO65" t="e">
        <f>AND(#REF!,"AAAAAH/2v/g=")</f>
        <v>#REF!</v>
      </c>
      <c r="IP65" t="e">
        <f>AND(#REF!,"AAAAAH/2v/k=")</f>
        <v>#REF!</v>
      </c>
      <c r="IQ65" t="e">
        <f>AND(#REF!,"AAAAAH/2v/o=")</f>
        <v>#REF!</v>
      </c>
      <c r="IR65" t="e">
        <f>AND(#REF!,"AAAAAH/2v/s=")</f>
        <v>#REF!</v>
      </c>
      <c r="IS65" t="e">
        <f>AND(#REF!,"AAAAAH/2v/w=")</f>
        <v>#REF!</v>
      </c>
      <c r="IT65" t="e">
        <f>AND(#REF!,"AAAAAH/2v/0=")</f>
        <v>#REF!</v>
      </c>
      <c r="IU65" t="e">
        <f>AND(#REF!,"AAAAAH/2v/4=")</f>
        <v>#REF!</v>
      </c>
      <c r="IV65" t="e">
        <f>AND(#REF!,"AAAAAH/2v/8=")</f>
        <v>#REF!</v>
      </c>
    </row>
    <row r="66" spans="1:256" x14ac:dyDescent="0.25">
      <c r="A66" t="e">
        <f>AND(#REF!,"AAAAAH8/3wA=")</f>
        <v>#REF!</v>
      </c>
      <c r="B66" t="e">
        <f>AND(#REF!,"AAAAAH8/3wE=")</f>
        <v>#REF!</v>
      </c>
      <c r="C66" t="e">
        <f>AND(#REF!,"AAAAAH8/3wI=")</f>
        <v>#REF!</v>
      </c>
      <c r="D66" t="e">
        <f>AND(#REF!,"AAAAAH8/3wM=")</f>
        <v>#REF!</v>
      </c>
      <c r="E66" t="e">
        <f>AND(#REF!,"AAAAAH8/3wQ=")</f>
        <v>#REF!</v>
      </c>
      <c r="F66" t="e">
        <f>AND(#REF!,"AAAAAH8/3wU=")</f>
        <v>#REF!</v>
      </c>
      <c r="G66" t="e">
        <f>AND(#REF!,"AAAAAH8/3wY=")</f>
        <v>#REF!</v>
      </c>
      <c r="H66" t="e">
        <f>AND(#REF!,"AAAAAH8/3wc=")</f>
        <v>#REF!</v>
      </c>
      <c r="I66" t="e">
        <f>AND(#REF!,"AAAAAH8/3wg=")</f>
        <v>#REF!</v>
      </c>
      <c r="J66" t="e">
        <f>IF(#REF!,"AAAAAH8/3wk=",0)</f>
        <v>#REF!</v>
      </c>
      <c r="K66" t="e">
        <f>AND(#REF!,"AAAAAH8/3wo=")</f>
        <v>#REF!</v>
      </c>
      <c r="L66" t="e">
        <f>AND(#REF!,"AAAAAH8/3ws=")</f>
        <v>#REF!</v>
      </c>
      <c r="M66" t="e">
        <f>AND(#REF!,"AAAAAH8/3ww=")</f>
        <v>#REF!</v>
      </c>
      <c r="N66" t="e">
        <f>AND(#REF!,"AAAAAH8/3w0=")</f>
        <v>#REF!</v>
      </c>
      <c r="O66" t="e">
        <f>AND(#REF!,"AAAAAH8/3w4=")</f>
        <v>#REF!</v>
      </c>
      <c r="P66" t="e">
        <f>AND(#REF!,"AAAAAH8/3w8=")</f>
        <v>#REF!</v>
      </c>
      <c r="Q66" t="e">
        <f>AND(#REF!,"AAAAAH8/3xA=")</f>
        <v>#REF!</v>
      </c>
      <c r="R66" t="e">
        <f>AND(#REF!,"AAAAAH8/3xE=")</f>
        <v>#REF!</v>
      </c>
      <c r="S66" t="e">
        <f>AND(#REF!,"AAAAAH8/3xI=")</f>
        <v>#REF!</v>
      </c>
      <c r="T66" t="e">
        <f>AND(#REF!,"AAAAAH8/3xM=")</f>
        <v>#REF!</v>
      </c>
      <c r="U66" t="e">
        <f>AND(#REF!,"AAAAAH8/3xQ=")</f>
        <v>#REF!</v>
      </c>
      <c r="V66" t="e">
        <f>AND(#REF!,"AAAAAH8/3xU=")</f>
        <v>#REF!</v>
      </c>
      <c r="W66" t="e">
        <f>AND(#REF!,"AAAAAH8/3xY=")</f>
        <v>#REF!</v>
      </c>
      <c r="X66" t="e">
        <f>AND(#REF!,"AAAAAH8/3xc=")</f>
        <v>#REF!</v>
      </c>
      <c r="Y66" t="e">
        <f>AND(#REF!,"AAAAAH8/3xg=")</f>
        <v>#REF!</v>
      </c>
      <c r="Z66" t="e">
        <f>AND(#REF!,"AAAAAH8/3xk=")</f>
        <v>#REF!</v>
      </c>
      <c r="AA66" t="e">
        <f>AND(#REF!,"AAAAAH8/3xo=")</f>
        <v>#REF!</v>
      </c>
      <c r="AB66" t="e">
        <f>AND(#REF!,"AAAAAH8/3xs=")</f>
        <v>#REF!</v>
      </c>
      <c r="AC66" t="e">
        <f>AND(#REF!,"AAAAAH8/3xw=")</f>
        <v>#REF!</v>
      </c>
      <c r="AD66" t="e">
        <f>AND(#REF!,"AAAAAH8/3x0=")</f>
        <v>#REF!</v>
      </c>
      <c r="AE66" t="e">
        <f>AND(#REF!,"AAAAAH8/3x4=")</f>
        <v>#REF!</v>
      </c>
      <c r="AF66" t="e">
        <f>AND(#REF!,"AAAAAH8/3x8=")</f>
        <v>#REF!</v>
      </c>
      <c r="AG66" t="e">
        <f>AND(#REF!,"AAAAAH8/3yA=")</f>
        <v>#REF!</v>
      </c>
      <c r="AH66" t="e">
        <f>IF(#REF!,"AAAAAH8/3yE=",0)</f>
        <v>#REF!</v>
      </c>
      <c r="AI66" t="e">
        <f>AND(#REF!,"AAAAAH8/3yI=")</f>
        <v>#REF!</v>
      </c>
      <c r="AJ66" t="e">
        <f>AND(#REF!,"AAAAAH8/3yM=")</f>
        <v>#REF!</v>
      </c>
      <c r="AK66" t="e">
        <f>AND(#REF!,"AAAAAH8/3yQ=")</f>
        <v>#REF!</v>
      </c>
      <c r="AL66" t="e">
        <f>AND(#REF!,"AAAAAH8/3yU=")</f>
        <v>#REF!</v>
      </c>
      <c r="AM66" t="e">
        <f>AND(#REF!,"AAAAAH8/3yY=")</f>
        <v>#REF!</v>
      </c>
      <c r="AN66" t="e">
        <f>AND(#REF!,"AAAAAH8/3yc=")</f>
        <v>#REF!</v>
      </c>
      <c r="AO66" t="e">
        <f>AND(#REF!,"AAAAAH8/3yg=")</f>
        <v>#REF!</v>
      </c>
      <c r="AP66" t="e">
        <f>AND(#REF!,"AAAAAH8/3yk=")</f>
        <v>#REF!</v>
      </c>
      <c r="AQ66" t="e">
        <f>AND(#REF!,"AAAAAH8/3yo=")</f>
        <v>#REF!</v>
      </c>
      <c r="AR66" t="e">
        <f>AND(#REF!,"AAAAAH8/3ys=")</f>
        <v>#REF!</v>
      </c>
      <c r="AS66" t="e">
        <f>AND(#REF!,"AAAAAH8/3yw=")</f>
        <v>#REF!</v>
      </c>
      <c r="AT66" t="e">
        <f>AND(#REF!,"AAAAAH8/3y0=")</f>
        <v>#REF!</v>
      </c>
      <c r="AU66" t="e">
        <f>AND(#REF!,"AAAAAH8/3y4=")</f>
        <v>#REF!</v>
      </c>
      <c r="AV66" t="e">
        <f>AND(#REF!,"AAAAAH8/3y8=")</f>
        <v>#REF!</v>
      </c>
      <c r="AW66" t="e">
        <f>AND(#REF!,"AAAAAH8/3zA=")</f>
        <v>#REF!</v>
      </c>
      <c r="AX66" t="e">
        <f>AND(#REF!,"AAAAAH8/3zE=")</f>
        <v>#REF!</v>
      </c>
      <c r="AY66" t="e">
        <f>AND(#REF!,"AAAAAH8/3zI=")</f>
        <v>#REF!</v>
      </c>
      <c r="AZ66" t="e">
        <f>AND(#REF!,"AAAAAH8/3zM=")</f>
        <v>#REF!</v>
      </c>
      <c r="BA66" t="e">
        <f>AND(#REF!,"AAAAAH8/3zQ=")</f>
        <v>#REF!</v>
      </c>
      <c r="BB66" t="e">
        <f>AND(#REF!,"AAAAAH8/3zU=")</f>
        <v>#REF!</v>
      </c>
      <c r="BC66" t="e">
        <f>AND(#REF!,"AAAAAH8/3zY=")</f>
        <v>#REF!</v>
      </c>
      <c r="BD66" t="e">
        <f>AND(#REF!,"AAAAAH8/3zc=")</f>
        <v>#REF!</v>
      </c>
      <c r="BE66" t="e">
        <f>AND(#REF!,"AAAAAH8/3zg=")</f>
        <v>#REF!</v>
      </c>
      <c r="BF66" t="e">
        <f>IF(#REF!,"AAAAAH8/3zk=",0)</f>
        <v>#REF!</v>
      </c>
      <c r="BG66" t="e">
        <f>AND(#REF!,"AAAAAH8/3zo=")</f>
        <v>#REF!</v>
      </c>
      <c r="BH66" t="e">
        <f>AND(#REF!,"AAAAAH8/3zs=")</f>
        <v>#REF!</v>
      </c>
      <c r="BI66" t="e">
        <f>AND(#REF!,"AAAAAH8/3zw=")</f>
        <v>#REF!</v>
      </c>
      <c r="BJ66" t="e">
        <f>AND(#REF!,"AAAAAH8/3z0=")</f>
        <v>#REF!</v>
      </c>
      <c r="BK66" t="e">
        <f>AND(#REF!,"AAAAAH8/3z4=")</f>
        <v>#REF!</v>
      </c>
      <c r="BL66" t="e">
        <f>AND(#REF!,"AAAAAH8/3z8=")</f>
        <v>#REF!</v>
      </c>
      <c r="BM66" t="e">
        <f>AND(#REF!,"AAAAAH8/30A=")</f>
        <v>#REF!</v>
      </c>
      <c r="BN66" t="e">
        <f>AND(#REF!,"AAAAAH8/30E=")</f>
        <v>#REF!</v>
      </c>
      <c r="BO66" t="e">
        <f>AND(#REF!,"AAAAAH8/30I=")</f>
        <v>#REF!</v>
      </c>
      <c r="BP66" t="e">
        <f>AND(#REF!,"AAAAAH8/30M=")</f>
        <v>#REF!</v>
      </c>
      <c r="BQ66" t="e">
        <f>AND(#REF!,"AAAAAH8/30Q=")</f>
        <v>#REF!</v>
      </c>
      <c r="BR66" t="e">
        <f>AND(#REF!,"AAAAAH8/30U=")</f>
        <v>#REF!</v>
      </c>
      <c r="BS66" t="e">
        <f>AND(#REF!,"AAAAAH8/30Y=")</f>
        <v>#REF!</v>
      </c>
      <c r="BT66" t="e">
        <f>AND(#REF!,"AAAAAH8/30c=")</f>
        <v>#REF!</v>
      </c>
      <c r="BU66" t="e">
        <f>AND(#REF!,"AAAAAH8/30g=")</f>
        <v>#REF!</v>
      </c>
      <c r="BV66" t="e">
        <f>AND(#REF!,"AAAAAH8/30k=")</f>
        <v>#REF!</v>
      </c>
      <c r="BW66" t="e">
        <f>AND(#REF!,"AAAAAH8/30o=")</f>
        <v>#REF!</v>
      </c>
      <c r="BX66" t="e">
        <f>AND(#REF!,"AAAAAH8/30s=")</f>
        <v>#REF!</v>
      </c>
      <c r="BY66" t="e">
        <f>AND(#REF!,"AAAAAH8/30w=")</f>
        <v>#REF!</v>
      </c>
      <c r="BZ66" t="e">
        <f>AND(#REF!,"AAAAAH8/300=")</f>
        <v>#REF!</v>
      </c>
      <c r="CA66" t="e">
        <f>AND(#REF!,"AAAAAH8/304=")</f>
        <v>#REF!</v>
      </c>
      <c r="CB66" t="e">
        <f>AND(#REF!,"AAAAAH8/308=")</f>
        <v>#REF!</v>
      </c>
      <c r="CC66" t="e">
        <f>AND(#REF!,"AAAAAH8/31A=")</f>
        <v>#REF!</v>
      </c>
      <c r="CD66" t="e">
        <f>IF(#REF!,"AAAAAH8/31E=",0)</f>
        <v>#REF!</v>
      </c>
      <c r="CE66" t="e">
        <f>AND(#REF!,"AAAAAH8/31I=")</f>
        <v>#REF!</v>
      </c>
      <c r="CF66" t="e">
        <f>AND(#REF!,"AAAAAH8/31M=")</f>
        <v>#REF!</v>
      </c>
      <c r="CG66" t="e">
        <f>AND(#REF!,"AAAAAH8/31Q=")</f>
        <v>#REF!</v>
      </c>
      <c r="CH66" t="e">
        <f>AND(#REF!,"AAAAAH8/31U=")</f>
        <v>#REF!</v>
      </c>
      <c r="CI66" t="e">
        <f>AND(#REF!,"AAAAAH8/31Y=")</f>
        <v>#REF!</v>
      </c>
      <c r="CJ66" t="e">
        <f>AND(#REF!,"AAAAAH8/31c=")</f>
        <v>#REF!</v>
      </c>
      <c r="CK66" t="e">
        <f>AND(#REF!,"AAAAAH8/31g=")</f>
        <v>#REF!</v>
      </c>
      <c r="CL66" t="e">
        <f>AND(#REF!,"AAAAAH8/31k=")</f>
        <v>#REF!</v>
      </c>
      <c r="CM66" t="e">
        <f>AND(#REF!,"AAAAAH8/31o=")</f>
        <v>#REF!</v>
      </c>
      <c r="CN66" t="e">
        <f>AND(#REF!,"AAAAAH8/31s=")</f>
        <v>#REF!</v>
      </c>
      <c r="CO66" t="e">
        <f>AND(#REF!,"AAAAAH8/31w=")</f>
        <v>#REF!</v>
      </c>
      <c r="CP66" t="e">
        <f>AND(#REF!,"AAAAAH8/310=")</f>
        <v>#REF!</v>
      </c>
      <c r="CQ66" t="e">
        <f>AND(#REF!,"AAAAAH8/314=")</f>
        <v>#REF!</v>
      </c>
      <c r="CR66" t="e">
        <f>AND(#REF!,"AAAAAH8/318=")</f>
        <v>#REF!</v>
      </c>
      <c r="CS66" t="e">
        <f>AND(#REF!,"AAAAAH8/32A=")</f>
        <v>#REF!</v>
      </c>
      <c r="CT66" t="e">
        <f>AND(#REF!,"AAAAAH8/32E=")</f>
        <v>#REF!</v>
      </c>
      <c r="CU66" t="e">
        <f>AND(#REF!,"AAAAAH8/32I=")</f>
        <v>#REF!</v>
      </c>
      <c r="CV66" t="e">
        <f>AND(#REF!,"AAAAAH8/32M=")</f>
        <v>#REF!</v>
      </c>
      <c r="CW66" t="e">
        <f>AND(#REF!,"AAAAAH8/32Q=")</f>
        <v>#REF!</v>
      </c>
      <c r="CX66" t="e">
        <f>AND(#REF!,"AAAAAH8/32U=")</f>
        <v>#REF!</v>
      </c>
      <c r="CY66" t="e">
        <f>AND(#REF!,"AAAAAH8/32Y=")</f>
        <v>#REF!</v>
      </c>
      <c r="CZ66" t="e">
        <f>AND(#REF!,"AAAAAH8/32c=")</f>
        <v>#REF!</v>
      </c>
      <c r="DA66" t="e">
        <f>AND(#REF!,"AAAAAH8/32g=")</f>
        <v>#REF!</v>
      </c>
      <c r="DB66" t="e">
        <f>IF(#REF!,"AAAAAH8/32k=",0)</f>
        <v>#REF!</v>
      </c>
      <c r="DC66" t="e">
        <f>AND(#REF!,"AAAAAH8/32o=")</f>
        <v>#REF!</v>
      </c>
      <c r="DD66" t="e">
        <f>AND(#REF!,"AAAAAH8/32s=")</f>
        <v>#REF!</v>
      </c>
      <c r="DE66" t="e">
        <f>AND(#REF!,"AAAAAH8/32w=")</f>
        <v>#REF!</v>
      </c>
      <c r="DF66" t="e">
        <f>AND(#REF!,"AAAAAH8/320=")</f>
        <v>#REF!</v>
      </c>
      <c r="DG66" t="e">
        <f>AND(#REF!,"AAAAAH8/324=")</f>
        <v>#REF!</v>
      </c>
      <c r="DH66" t="e">
        <f>AND(#REF!,"AAAAAH8/328=")</f>
        <v>#REF!</v>
      </c>
      <c r="DI66" t="e">
        <f>AND(#REF!,"AAAAAH8/33A=")</f>
        <v>#REF!</v>
      </c>
      <c r="DJ66" t="e">
        <f>AND(#REF!,"AAAAAH8/33E=")</f>
        <v>#REF!</v>
      </c>
      <c r="DK66" t="e">
        <f>AND(#REF!,"AAAAAH8/33I=")</f>
        <v>#REF!</v>
      </c>
      <c r="DL66" t="e">
        <f>AND(#REF!,"AAAAAH8/33M=")</f>
        <v>#REF!</v>
      </c>
      <c r="DM66" t="e">
        <f>AND(#REF!,"AAAAAH8/33Q=")</f>
        <v>#REF!</v>
      </c>
      <c r="DN66" t="e">
        <f>AND(#REF!,"AAAAAH8/33U=")</f>
        <v>#REF!</v>
      </c>
      <c r="DO66" t="e">
        <f>AND(#REF!,"AAAAAH8/33Y=")</f>
        <v>#REF!</v>
      </c>
      <c r="DP66" t="e">
        <f>AND(#REF!,"AAAAAH8/33c=")</f>
        <v>#REF!</v>
      </c>
      <c r="DQ66" t="e">
        <f>AND(#REF!,"AAAAAH8/33g=")</f>
        <v>#REF!</v>
      </c>
      <c r="DR66" t="e">
        <f>AND(#REF!,"AAAAAH8/33k=")</f>
        <v>#REF!</v>
      </c>
      <c r="DS66" t="e">
        <f>AND(#REF!,"AAAAAH8/33o=")</f>
        <v>#REF!</v>
      </c>
      <c r="DT66" t="e">
        <f>AND(#REF!,"AAAAAH8/33s=")</f>
        <v>#REF!</v>
      </c>
      <c r="DU66" t="e">
        <f>AND(#REF!,"AAAAAH8/33w=")</f>
        <v>#REF!</v>
      </c>
      <c r="DV66" t="e">
        <f>AND(#REF!,"AAAAAH8/330=")</f>
        <v>#REF!</v>
      </c>
      <c r="DW66" t="e">
        <f>AND(#REF!,"AAAAAH8/334=")</f>
        <v>#REF!</v>
      </c>
      <c r="DX66" t="e">
        <f>AND(#REF!,"AAAAAH8/338=")</f>
        <v>#REF!</v>
      </c>
      <c r="DY66" t="e">
        <f>AND(#REF!,"AAAAAH8/34A=")</f>
        <v>#REF!</v>
      </c>
      <c r="DZ66" t="e">
        <f>IF(#REF!,"AAAAAH8/34E=",0)</f>
        <v>#REF!</v>
      </c>
      <c r="EA66" t="e">
        <f>AND(#REF!,"AAAAAH8/34I=")</f>
        <v>#REF!</v>
      </c>
      <c r="EB66" t="e">
        <f>AND(#REF!,"AAAAAH8/34M=")</f>
        <v>#REF!</v>
      </c>
      <c r="EC66" t="e">
        <f>AND(#REF!,"AAAAAH8/34Q=")</f>
        <v>#REF!</v>
      </c>
      <c r="ED66" t="e">
        <f>AND(#REF!,"AAAAAH8/34U=")</f>
        <v>#REF!</v>
      </c>
      <c r="EE66" t="e">
        <f>AND(#REF!,"AAAAAH8/34Y=")</f>
        <v>#REF!</v>
      </c>
      <c r="EF66" t="e">
        <f>AND(#REF!,"AAAAAH8/34c=")</f>
        <v>#REF!</v>
      </c>
      <c r="EG66" t="e">
        <f>AND(#REF!,"AAAAAH8/34g=")</f>
        <v>#REF!</v>
      </c>
      <c r="EH66" t="e">
        <f>AND(#REF!,"AAAAAH8/34k=")</f>
        <v>#REF!</v>
      </c>
      <c r="EI66" t="e">
        <f>AND(#REF!,"AAAAAH8/34o=")</f>
        <v>#REF!</v>
      </c>
      <c r="EJ66" t="e">
        <f>AND(#REF!,"AAAAAH8/34s=")</f>
        <v>#REF!</v>
      </c>
      <c r="EK66" t="e">
        <f>AND(#REF!,"AAAAAH8/34w=")</f>
        <v>#REF!</v>
      </c>
      <c r="EL66" t="e">
        <f>AND(#REF!,"AAAAAH8/340=")</f>
        <v>#REF!</v>
      </c>
      <c r="EM66" t="e">
        <f>AND(#REF!,"AAAAAH8/344=")</f>
        <v>#REF!</v>
      </c>
      <c r="EN66" t="e">
        <f>AND(#REF!,"AAAAAH8/348=")</f>
        <v>#REF!</v>
      </c>
      <c r="EO66" t="e">
        <f>AND(#REF!,"AAAAAH8/35A=")</f>
        <v>#REF!</v>
      </c>
      <c r="EP66" t="e">
        <f>AND(#REF!,"AAAAAH8/35E=")</f>
        <v>#REF!</v>
      </c>
      <c r="EQ66" t="e">
        <f>AND(#REF!,"AAAAAH8/35I=")</f>
        <v>#REF!</v>
      </c>
      <c r="ER66" t="e">
        <f>AND(#REF!,"AAAAAH8/35M=")</f>
        <v>#REF!</v>
      </c>
      <c r="ES66" t="e">
        <f>AND(#REF!,"AAAAAH8/35Q=")</f>
        <v>#REF!</v>
      </c>
      <c r="ET66" t="e">
        <f>AND(#REF!,"AAAAAH8/35U=")</f>
        <v>#REF!</v>
      </c>
      <c r="EU66" t="e">
        <f>AND(#REF!,"AAAAAH8/35Y=")</f>
        <v>#REF!</v>
      </c>
      <c r="EV66" t="e">
        <f>AND(#REF!,"AAAAAH8/35c=")</f>
        <v>#REF!</v>
      </c>
      <c r="EW66" t="e">
        <f>AND(#REF!,"AAAAAH8/35g=")</f>
        <v>#REF!</v>
      </c>
      <c r="EX66" t="e">
        <f>IF(#REF!,"AAAAAH8/35k=",0)</f>
        <v>#REF!</v>
      </c>
      <c r="EY66" t="e">
        <f>AND(#REF!,"AAAAAH8/35o=")</f>
        <v>#REF!</v>
      </c>
      <c r="EZ66" t="e">
        <f>AND(#REF!,"AAAAAH8/35s=")</f>
        <v>#REF!</v>
      </c>
      <c r="FA66" t="e">
        <f>AND(#REF!,"AAAAAH8/35w=")</f>
        <v>#REF!</v>
      </c>
      <c r="FB66" t="e">
        <f>AND(#REF!,"AAAAAH8/350=")</f>
        <v>#REF!</v>
      </c>
      <c r="FC66" t="e">
        <f>AND(#REF!,"AAAAAH8/354=")</f>
        <v>#REF!</v>
      </c>
      <c r="FD66" t="e">
        <f>AND(#REF!,"AAAAAH8/358=")</f>
        <v>#REF!</v>
      </c>
      <c r="FE66" t="e">
        <f>AND(#REF!,"AAAAAH8/36A=")</f>
        <v>#REF!</v>
      </c>
      <c r="FF66" t="e">
        <f>AND(#REF!,"AAAAAH8/36E=")</f>
        <v>#REF!</v>
      </c>
      <c r="FG66" t="e">
        <f>AND(#REF!,"AAAAAH8/36I=")</f>
        <v>#REF!</v>
      </c>
      <c r="FH66" t="e">
        <f>AND(#REF!,"AAAAAH8/36M=")</f>
        <v>#REF!</v>
      </c>
      <c r="FI66" t="e">
        <f>AND(#REF!,"AAAAAH8/36Q=")</f>
        <v>#REF!</v>
      </c>
      <c r="FJ66" t="e">
        <f>AND(#REF!,"AAAAAH8/36U=")</f>
        <v>#REF!</v>
      </c>
      <c r="FK66" t="e">
        <f>AND(#REF!,"AAAAAH8/36Y=")</f>
        <v>#REF!</v>
      </c>
      <c r="FL66" t="e">
        <f>AND(#REF!,"AAAAAH8/36c=")</f>
        <v>#REF!</v>
      </c>
      <c r="FM66" t="e">
        <f>AND(#REF!,"AAAAAH8/36g=")</f>
        <v>#REF!</v>
      </c>
      <c r="FN66" t="e">
        <f>AND(#REF!,"AAAAAH8/36k=")</f>
        <v>#REF!</v>
      </c>
      <c r="FO66" t="e">
        <f>AND(#REF!,"AAAAAH8/36o=")</f>
        <v>#REF!</v>
      </c>
      <c r="FP66" t="e">
        <f>AND(#REF!,"AAAAAH8/36s=")</f>
        <v>#REF!</v>
      </c>
      <c r="FQ66" t="e">
        <f>AND(#REF!,"AAAAAH8/36w=")</f>
        <v>#REF!</v>
      </c>
      <c r="FR66" t="e">
        <f>AND(#REF!,"AAAAAH8/360=")</f>
        <v>#REF!</v>
      </c>
      <c r="FS66" t="e">
        <f>AND(#REF!,"AAAAAH8/364=")</f>
        <v>#REF!</v>
      </c>
      <c r="FT66" t="e">
        <f>AND(#REF!,"AAAAAH8/368=")</f>
        <v>#REF!</v>
      </c>
      <c r="FU66" t="e">
        <f>AND(#REF!,"AAAAAH8/37A=")</f>
        <v>#REF!</v>
      </c>
      <c r="FV66" t="e">
        <f>IF(#REF!,"AAAAAH8/37E=",0)</f>
        <v>#REF!</v>
      </c>
      <c r="FW66" t="e">
        <f>AND(#REF!,"AAAAAH8/37I=")</f>
        <v>#REF!</v>
      </c>
      <c r="FX66" t="e">
        <f>AND(#REF!,"AAAAAH8/37M=")</f>
        <v>#REF!</v>
      </c>
      <c r="FY66" t="e">
        <f>AND(#REF!,"AAAAAH8/37Q=")</f>
        <v>#REF!</v>
      </c>
      <c r="FZ66" t="e">
        <f>AND(#REF!,"AAAAAH8/37U=")</f>
        <v>#REF!</v>
      </c>
      <c r="GA66" t="e">
        <f>AND(#REF!,"AAAAAH8/37Y=")</f>
        <v>#REF!</v>
      </c>
      <c r="GB66" t="e">
        <f>AND(#REF!,"AAAAAH8/37c=")</f>
        <v>#REF!</v>
      </c>
      <c r="GC66" t="e">
        <f>AND(#REF!,"AAAAAH8/37g=")</f>
        <v>#REF!</v>
      </c>
      <c r="GD66" t="e">
        <f>AND(#REF!,"AAAAAH8/37k=")</f>
        <v>#REF!</v>
      </c>
      <c r="GE66" t="e">
        <f>AND(#REF!,"AAAAAH8/37o=")</f>
        <v>#REF!</v>
      </c>
      <c r="GF66" t="e">
        <f>AND(#REF!,"AAAAAH8/37s=")</f>
        <v>#REF!</v>
      </c>
      <c r="GG66" t="e">
        <f>AND(#REF!,"AAAAAH8/37w=")</f>
        <v>#REF!</v>
      </c>
      <c r="GH66" t="e">
        <f>AND(#REF!,"AAAAAH8/370=")</f>
        <v>#REF!</v>
      </c>
      <c r="GI66" t="e">
        <f>AND(#REF!,"AAAAAH8/374=")</f>
        <v>#REF!</v>
      </c>
      <c r="GJ66" t="e">
        <f>AND(#REF!,"AAAAAH8/378=")</f>
        <v>#REF!</v>
      </c>
      <c r="GK66" t="e">
        <f>AND(#REF!,"AAAAAH8/38A=")</f>
        <v>#REF!</v>
      </c>
      <c r="GL66" t="e">
        <f>AND(#REF!,"AAAAAH8/38E=")</f>
        <v>#REF!</v>
      </c>
      <c r="GM66" t="e">
        <f>AND(#REF!,"AAAAAH8/38I=")</f>
        <v>#REF!</v>
      </c>
      <c r="GN66" t="e">
        <f>AND(#REF!,"AAAAAH8/38M=")</f>
        <v>#REF!</v>
      </c>
      <c r="GO66" t="e">
        <f>AND(#REF!,"AAAAAH8/38Q=")</f>
        <v>#REF!</v>
      </c>
      <c r="GP66" t="e">
        <f>AND(#REF!,"AAAAAH8/38U=")</f>
        <v>#REF!</v>
      </c>
      <c r="GQ66" t="e">
        <f>AND(#REF!,"AAAAAH8/38Y=")</f>
        <v>#REF!</v>
      </c>
      <c r="GR66" t="e">
        <f>AND(#REF!,"AAAAAH8/38c=")</f>
        <v>#REF!</v>
      </c>
      <c r="GS66" t="e">
        <f>AND(#REF!,"AAAAAH8/38g=")</f>
        <v>#REF!</v>
      </c>
      <c r="GT66" t="e">
        <f>IF(#REF!,"AAAAAH8/38k=",0)</f>
        <v>#REF!</v>
      </c>
      <c r="GU66" t="e">
        <f>AND(#REF!,"AAAAAH8/38o=")</f>
        <v>#REF!</v>
      </c>
      <c r="GV66" t="e">
        <f>AND(#REF!,"AAAAAH8/38s=")</f>
        <v>#REF!</v>
      </c>
      <c r="GW66" t="e">
        <f>AND(#REF!,"AAAAAH8/38w=")</f>
        <v>#REF!</v>
      </c>
      <c r="GX66" t="e">
        <f>AND(#REF!,"AAAAAH8/380=")</f>
        <v>#REF!</v>
      </c>
      <c r="GY66" t="e">
        <f>AND(#REF!,"AAAAAH8/384=")</f>
        <v>#REF!</v>
      </c>
      <c r="GZ66" t="e">
        <f>AND(#REF!,"AAAAAH8/388=")</f>
        <v>#REF!</v>
      </c>
      <c r="HA66" t="e">
        <f>AND(#REF!,"AAAAAH8/39A=")</f>
        <v>#REF!</v>
      </c>
      <c r="HB66" t="e">
        <f>AND(#REF!,"AAAAAH8/39E=")</f>
        <v>#REF!</v>
      </c>
      <c r="HC66" t="e">
        <f>AND(#REF!,"AAAAAH8/39I=")</f>
        <v>#REF!</v>
      </c>
      <c r="HD66" t="e">
        <f>AND(#REF!,"AAAAAH8/39M=")</f>
        <v>#REF!</v>
      </c>
      <c r="HE66" t="e">
        <f>AND(#REF!,"AAAAAH8/39Q=")</f>
        <v>#REF!</v>
      </c>
      <c r="HF66" t="e">
        <f>AND(#REF!,"AAAAAH8/39U=")</f>
        <v>#REF!</v>
      </c>
      <c r="HG66" t="e">
        <f>AND(#REF!,"AAAAAH8/39Y=")</f>
        <v>#REF!</v>
      </c>
      <c r="HH66" t="e">
        <f>AND(#REF!,"AAAAAH8/39c=")</f>
        <v>#REF!</v>
      </c>
      <c r="HI66" t="e">
        <f>AND(#REF!,"AAAAAH8/39g=")</f>
        <v>#REF!</v>
      </c>
      <c r="HJ66" t="e">
        <f>AND(#REF!,"AAAAAH8/39k=")</f>
        <v>#REF!</v>
      </c>
      <c r="HK66" t="e">
        <f>AND(#REF!,"AAAAAH8/39o=")</f>
        <v>#REF!</v>
      </c>
      <c r="HL66" t="e">
        <f>AND(#REF!,"AAAAAH8/39s=")</f>
        <v>#REF!</v>
      </c>
      <c r="HM66" t="e">
        <f>AND(#REF!,"AAAAAH8/39w=")</f>
        <v>#REF!</v>
      </c>
      <c r="HN66" t="e">
        <f>AND(#REF!,"AAAAAH8/390=")</f>
        <v>#REF!</v>
      </c>
      <c r="HO66" t="e">
        <f>AND(#REF!,"AAAAAH8/394=")</f>
        <v>#REF!</v>
      </c>
      <c r="HP66" t="e">
        <f>AND(#REF!,"AAAAAH8/398=")</f>
        <v>#REF!</v>
      </c>
      <c r="HQ66" t="e">
        <f>AND(#REF!,"AAAAAH8/3+A=")</f>
        <v>#REF!</v>
      </c>
      <c r="HR66" t="e">
        <f>IF(#REF!,"AAAAAH8/3+E=",0)</f>
        <v>#REF!</v>
      </c>
      <c r="HS66" t="e">
        <f>IF(#REF!,"AAAAAH8/3+I=",0)</f>
        <v>#REF!</v>
      </c>
      <c r="HT66" t="e">
        <f>IF(#REF!,"AAAAAH8/3+M=",0)</f>
        <v>#REF!</v>
      </c>
      <c r="HU66" t="e">
        <f>IF(#REF!,"AAAAAH8/3+Q=",0)</f>
        <v>#REF!</v>
      </c>
      <c r="HV66" t="e">
        <f>IF(#REF!,"AAAAAH8/3+U=",0)</f>
        <v>#REF!</v>
      </c>
      <c r="HW66" t="e">
        <f>IF(#REF!,"AAAAAH8/3+Y=",0)</f>
        <v>#REF!</v>
      </c>
      <c r="HX66" t="e">
        <f>IF(#REF!,"AAAAAH8/3+c=",0)</f>
        <v>#REF!</v>
      </c>
      <c r="HY66" t="e">
        <f>IF(#REF!,"AAAAAH8/3+g=",0)</f>
        <v>#REF!</v>
      </c>
      <c r="HZ66" t="e">
        <f>IF(#REF!,"AAAAAH8/3+k=",0)</f>
        <v>#REF!</v>
      </c>
      <c r="IA66" t="e">
        <f>IF(#REF!,"AAAAAH8/3+o=",0)</f>
        <v>#REF!</v>
      </c>
      <c r="IB66" t="e">
        <f>IF(#REF!,"AAAAAH8/3+s=",0)</f>
        <v>#REF!</v>
      </c>
      <c r="IC66" t="e">
        <f>IF(#REF!,"AAAAAH8/3+w=",0)</f>
        <v>#REF!</v>
      </c>
      <c r="ID66" t="e">
        <f>IF(#REF!,"AAAAAH8/3+0=",0)</f>
        <v>#REF!</v>
      </c>
      <c r="IE66" t="e">
        <f>IF(#REF!,"AAAAAH8/3+4=",0)</f>
        <v>#REF!</v>
      </c>
      <c r="IF66" t="e">
        <f>IF(#REF!,"AAAAAH8/3+8=",0)</f>
        <v>#REF!</v>
      </c>
      <c r="IG66" t="e">
        <f>IF(#REF!,"AAAAAH8/3/A=",0)</f>
        <v>#REF!</v>
      </c>
      <c r="IH66" t="e">
        <f>IF(#REF!,"AAAAAH8/3/E=",0)</f>
        <v>#REF!</v>
      </c>
      <c r="II66" t="e">
        <f>IF(#REF!,"AAAAAH8/3/I=",0)</f>
        <v>#REF!</v>
      </c>
      <c r="IJ66" t="e">
        <f>IF(#REF!,"AAAAAH8/3/M=",0)</f>
        <v>#REF!</v>
      </c>
      <c r="IK66" t="e">
        <f>IF(#REF!,"AAAAAH8/3/Q=",0)</f>
        <v>#REF!</v>
      </c>
      <c r="IL66" t="e">
        <f>IF(#REF!,"AAAAAH8/3/U=",0)</f>
        <v>#REF!</v>
      </c>
      <c r="IM66" t="e">
        <f>IF(#REF!,"AAAAAH8/3/Y=",0)</f>
        <v>#REF!</v>
      </c>
      <c r="IN66" t="e">
        <f>IF(#REF!,"AAAAAH8/3/c=",0)</f>
        <v>#REF!</v>
      </c>
      <c r="IO66" t="e">
        <f>IF(#REF!,"AAAAAH8/3/g=",0)</f>
        <v>#REF!</v>
      </c>
      <c r="IP66" t="e">
        <f>AND(#REF!,"AAAAAH8/3/k=")</f>
        <v>#REF!</v>
      </c>
      <c r="IQ66" t="e">
        <f>AND(#REF!,"AAAAAH8/3/o=")</f>
        <v>#REF!</v>
      </c>
      <c r="IR66" t="e">
        <f>AND(#REF!,"AAAAAH8/3/s=")</f>
        <v>#REF!</v>
      </c>
      <c r="IS66" t="e">
        <f>AND(#REF!,"AAAAAH8/3/w=")</f>
        <v>#REF!</v>
      </c>
      <c r="IT66" t="e">
        <f>AND(#REF!,"AAAAAH8/3/0=")</f>
        <v>#REF!</v>
      </c>
      <c r="IU66" t="e">
        <f>AND(#REF!,"AAAAAH8/3/4=")</f>
        <v>#REF!</v>
      </c>
      <c r="IV66" t="e">
        <f>AND(#REF!,"AAAAAH8/3/8=")</f>
        <v>#REF!</v>
      </c>
    </row>
    <row r="67" spans="1:256" x14ac:dyDescent="0.25">
      <c r="A67" t="e">
        <f>AND(#REF!,"AAAAAG799wA=")</f>
        <v>#REF!</v>
      </c>
      <c r="B67" t="e">
        <f>AND(#REF!,"AAAAAG799wE=")</f>
        <v>#REF!</v>
      </c>
      <c r="C67" t="e">
        <f>AND(#REF!,"AAAAAG799wI=")</f>
        <v>#REF!</v>
      </c>
      <c r="D67" t="e">
        <f>AND(#REF!,"AAAAAG799wM=")</f>
        <v>#REF!</v>
      </c>
      <c r="E67" t="e">
        <f>AND(#REF!,"AAAAAG799wQ=")</f>
        <v>#REF!</v>
      </c>
      <c r="F67" t="e">
        <f>AND(#REF!,"AAAAAG799wU=")</f>
        <v>#REF!</v>
      </c>
      <c r="G67" t="e">
        <f>AND(#REF!,"AAAAAG799wY=")</f>
        <v>#REF!</v>
      </c>
      <c r="H67" t="e">
        <f>AND(#REF!,"AAAAAG799wc=")</f>
        <v>#REF!</v>
      </c>
      <c r="I67" t="e">
        <f>AND(#REF!,"AAAAAG799wg=")</f>
        <v>#REF!</v>
      </c>
      <c r="J67" t="e">
        <f>IF(#REF!,"AAAAAG799wk=",0)</f>
        <v>#REF!</v>
      </c>
      <c r="K67" t="e">
        <f>AND(#REF!,"AAAAAG799wo=")</f>
        <v>#REF!</v>
      </c>
      <c r="L67" t="e">
        <f>AND(#REF!,"AAAAAG799ws=")</f>
        <v>#REF!</v>
      </c>
      <c r="M67" t="e">
        <f>AND(#REF!,"AAAAAG799ww=")</f>
        <v>#REF!</v>
      </c>
      <c r="N67" t="e">
        <f>AND(#REF!,"AAAAAG799w0=")</f>
        <v>#REF!</v>
      </c>
      <c r="O67" t="e">
        <f>AND(#REF!,"AAAAAG799w4=")</f>
        <v>#REF!</v>
      </c>
      <c r="P67" t="e">
        <f>AND(#REF!,"AAAAAG799w8=")</f>
        <v>#REF!</v>
      </c>
      <c r="Q67" t="e">
        <f>AND(#REF!,"AAAAAG799xA=")</f>
        <v>#REF!</v>
      </c>
      <c r="R67" t="e">
        <f>AND(#REF!,"AAAAAG799xE=")</f>
        <v>#REF!</v>
      </c>
      <c r="S67" t="e">
        <f>AND(#REF!,"AAAAAG799xI=")</f>
        <v>#REF!</v>
      </c>
      <c r="T67" t="e">
        <f>AND(#REF!,"AAAAAG799xM=")</f>
        <v>#REF!</v>
      </c>
      <c r="U67" t="e">
        <f>AND(#REF!,"AAAAAG799xQ=")</f>
        <v>#REF!</v>
      </c>
      <c r="V67" t="e">
        <f>AND(#REF!,"AAAAAG799xU=")</f>
        <v>#REF!</v>
      </c>
      <c r="W67" t="e">
        <f>AND(#REF!,"AAAAAG799xY=")</f>
        <v>#REF!</v>
      </c>
      <c r="X67" t="e">
        <f>AND(#REF!,"AAAAAG799xc=")</f>
        <v>#REF!</v>
      </c>
      <c r="Y67" t="e">
        <f>AND(#REF!,"AAAAAG799xg=")</f>
        <v>#REF!</v>
      </c>
      <c r="Z67" t="e">
        <f>AND(#REF!,"AAAAAG799xk=")</f>
        <v>#REF!</v>
      </c>
      <c r="AA67" t="e">
        <f>IF(#REF!,"AAAAAG799xo=",0)</f>
        <v>#REF!</v>
      </c>
      <c r="AB67" t="e">
        <f>AND(#REF!,"AAAAAG799xs=")</f>
        <v>#REF!</v>
      </c>
      <c r="AC67" t="e">
        <f>AND(#REF!,"AAAAAG799xw=")</f>
        <v>#REF!</v>
      </c>
      <c r="AD67" t="e">
        <f>AND(#REF!,"AAAAAG799x0=")</f>
        <v>#REF!</v>
      </c>
      <c r="AE67" t="e">
        <f>AND(#REF!,"AAAAAG799x4=")</f>
        <v>#REF!</v>
      </c>
      <c r="AF67" t="e">
        <f>AND(#REF!,"AAAAAG799x8=")</f>
        <v>#REF!</v>
      </c>
      <c r="AG67" t="e">
        <f>AND(#REF!,"AAAAAG799yA=")</f>
        <v>#REF!</v>
      </c>
      <c r="AH67" t="e">
        <f>AND(#REF!,"AAAAAG799yE=")</f>
        <v>#REF!</v>
      </c>
      <c r="AI67" t="e">
        <f>AND(#REF!,"AAAAAG799yI=")</f>
        <v>#REF!</v>
      </c>
      <c r="AJ67" t="e">
        <f>AND(#REF!,"AAAAAG799yM=")</f>
        <v>#REF!</v>
      </c>
      <c r="AK67" t="e">
        <f>AND(#REF!,"AAAAAG799yQ=")</f>
        <v>#REF!</v>
      </c>
      <c r="AL67" t="e">
        <f>AND(#REF!,"AAAAAG799yU=")</f>
        <v>#REF!</v>
      </c>
      <c r="AM67" t="e">
        <f>AND(#REF!,"AAAAAG799yY=")</f>
        <v>#REF!</v>
      </c>
      <c r="AN67" t="e">
        <f>AND(#REF!,"AAAAAG799yc=")</f>
        <v>#REF!</v>
      </c>
      <c r="AO67" t="e">
        <f>AND(#REF!,"AAAAAG799yg=")</f>
        <v>#REF!</v>
      </c>
      <c r="AP67" t="e">
        <f>AND(#REF!,"AAAAAG799yk=")</f>
        <v>#REF!</v>
      </c>
      <c r="AQ67" t="e">
        <f>AND(#REF!,"AAAAAG799yo=")</f>
        <v>#REF!</v>
      </c>
      <c r="AR67" t="e">
        <f>IF(#REF!,"AAAAAG799ys=",0)</f>
        <v>#REF!</v>
      </c>
      <c r="AS67" t="e">
        <f>AND(#REF!,"AAAAAG799yw=")</f>
        <v>#REF!</v>
      </c>
      <c r="AT67" t="e">
        <f>AND(#REF!,"AAAAAG799y0=")</f>
        <v>#REF!</v>
      </c>
      <c r="AU67" t="e">
        <f>AND(#REF!,"AAAAAG799y4=")</f>
        <v>#REF!</v>
      </c>
      <c r="AV67" t="e">
        <f>AND(#REF!,"AAAAAG799y8=")</f>
        <v>#REF!</v>
      </c>
      <c r="AW67" t="e">
        <f>AND(#REF!,"AAAAAG799zA=")</f>
        <v>#REF!</v>
      </c>
      <c r="AX67" t="e">
        <f>AND(#REF!,"AAAAAG799zE=")</f>
        <v>#REF!</v>
      </c>
      <c r="AY67" t="e">
        <f>AND(#REF!,"AAAAAG799zI=")</f>
        <v>#REF!</v>
      </c>
      <c r="AZ67" t="e">
        <f>AND(#REF!,"AAAAAG799zM=")</f>
        <v>#REF!</v>
      </c>
      <c r="BA67" t="e">
        <f>AND(#REF!,"AAAAAG799zQ=")</f>
        <v>#REF!</v>
      </c>
      <c r="BB67" t="e">
        <f>AND(#REF!,"AAAAAG799zU=")</f>
        <v>#REF!</v>
      </c>
      <c r="BC67" t="e">
        <f>AND(#REF!,"AAAAAG799zY=")</f>
        <v>#REF!</v>
      </c>
      <c r="BD67" t="e">
        <f>AND(#REF!,"AAAAAG799zc=")</f>
        <v>#REF!</v>
      </c>
      <c r="BE67" t="e">
        <f>AND(#REF!,"AAAAAG799zg=")</f>
        <v>#REF!</v>
      </c>
      <c r="BF67" t="e">
        <f>AND(#REF!,"AAAAAG799zk=")</f>
        <v>#REF!</v>
      </c>
      <c r="BG67" t="e">
        <f>AND(#REF!,"AAAAAG799zo=")</f>
        <v>#REF!</v>
      </c>
      <c r="BH67" t="e">
        <f>AND(#REF!,"AAAAAG799zs=")</f>
        <v>#REF!</v>
      </c>
      <c r="BI67" t="e">
        <f>IF(#REF!,"AAAAAG799zw=",0)</f>
        <v>#REF!</v>
      </c>
      <c r="BJ67" t="e">
        <f>AND(#REF!,"AAAAAG799z0=")</f>
        <v>#REF!</v>
      </c>
      <c r="BK67" t="e">
        <f>AND(#REF!,"AAAAAG799z4=")</f>
        <v>#REF!</v>
      </c>
      <c r="BL67" t="e">
        <f>AND(#REF!,"AAAAAG799z8=")</f>
        <v>#REF!</v>
      </c>
      <c r="BM67" t="e">
        <f>AND(#REF!,"AAAAAG7990A=")</f>
        <v>#REF!</v>
      </c>
      <c r="BN67" t="e">
        <f>AND(#REF!,"AAAAAG7990E=")</f>
        <v>#REF!</v>
      </c>
      <c r="BO67" t="e">
        <f>AND(#REF!,"AAAAAG7990I=")</f>
        <v>#REF!</v>
      </c>
      <c r="BP67" t="e">
        <f>AND(#REF!,"AAAAAG7990M=")</f>
        <v>#REF!</v>
      </c>
      <c r="BQ67" t="e">
        <f>AND(#REF!,"AAAAAG7990Q=")</f>
        <v>#REF!</v>
      </c>
      <c r="BR67" t="e">
        <f>AND(#REF!,"AAAAAG7990U=")</f>
        <v>#REF!</v>
      </c>
      <c r="BS67" t="e">
        <f>AND(#REF!,"AAAAAG7990Y=")</f>
        <v>#REF!</v>
      </c>
      <c r="BT67" t="e">
        <f>AND(#REF!,"AAAAAG7990c=")</f>
        <v>#REF!</v>
      </c>
      <c r="BU67" t="e">
        <f>AND(#REF!,"AAAAAG7990g=")</f>
        <v>#REF!</v>
      </c>
      <c r="BV67" t="e">
        <f>AND(#REF!,"AAAAAG7990k=")</f>
        <v>#REF!</v>
      </c>
      <c r="BW67" t="e">
        <f>AND(#REF!,"AAAAAG7990o=")</f>
        <v>#REF!</v>
      </c>
      <c r="BX67" t="e">
        <f>AND(#REF!,"AAAAAG7990s=")</f>
        <v>#REF!</v>
      </c>
      <c r="BY67" t="e">
        <f>AND(#REF!,"AAAAAG7990w=")</f>
        <v>#REF!</v>
      </c>
      <c r="BZ67" t="e">
        <f>IF(#REF!,"AAAAAG79900=",0)</f>
        <v>#REF!</v>
      </c>
      <c r="CA67" t="e">
        <f>AND(#REF!,"AAAAAG79904=")</f>
        <v>#REF!</v>
      </c>
      <c r="CB67" t="e">
        <f>AND(#REF!,"AAAAAG79908=")</f>
        <v>#REF!</v>
      </c>
      <c r="CC67" t="e">
        <f>AND(#REF!,"AAAAAG7991A=")</f>
        <v>#REF!</v>
      </c>
      <c r="CD67" t="e">
        <f>AND(#REF!,"AAAAAG7991E=")</f>
        <v>#REF!</v>
      </c>
      <c r="CE67" t="e">
        <f>AND(#REF!,"AAAAAG7991I=")</f>
        <v>#REF!</v>
      </c>
      <c r="CF67" t="e">
        <f>AND(#REF!,"AAAAAG7991M=")</f>
        <v>#REF!</v>
      </c>
      <c r="CG67" t="e">
        <f>AND(#REF!,"AAAAAG7991Q=")</f>
        <v>#REF!</v>
      </c>
      <c r="CH67" t="e">
        <f>AND(#REF!,"AAAAAG7991U=")</f>
        <v>#REF!</v>
      </c>
      <c r="CI67" t="e">
        <f>AND(#REF!,"AAAAAG7991Y=")</f>
        <v>#REF!</v>
      </c>
      <c r="CJ67" t="e">
        <f>AND(#REF!,"AAAAAG7991c=")</f>
        <v>#REF!</v>
      </c>
      <c r="CK67" t="e">
        <f>AND(#REF!,"AAAAAG7991g=")</f>
        <v>#REF!</v>
      </c>
      <c r="CL67" t="e">
        <f>AND(#REF!,"AAAAAG7991k=")</f>
        <v>#REF!</v>
      </c>
      <c r="CM67" t="e">
        <f>AND(#REF!,"AAAAAG7991o=")</f>
        <v>#REF!</v>
      </c>
      <c r="CN67" t="e">
        <f>AND(#REF!,"AAAAAG7991s=")</f>
        <v>#REF!</v>
      </c>
      <c r="CO67" t="e">
        <f>AND(#REF!,"AAAAAG7991w=")</f>
        <v>#REF!</v>
      </c>
      <c r="CP67" t="e">
        <f>AND(#REF!,"AAAAAG79910=")</f>
        <v>#REF!</v>
      </c>
      <c r="CQ67" t="e">
        <f>IF(#REF!,"AAAAAG79914=",0)</f>
        <v>#REF!</v>
      </c>
      <c r="CR67" t="e">
        <f>AND(#REF!,"AAAAAG79918=")</f>
        <v>#REF!</v>
      </c>
      <c r="CS67" t="e">
        <f>AND(#REF!,"AAAAAG7992A=")</f>
        <v>#REF!</v>
      </c>
      <c r="CT67" t="e">
        <f>AND(#REF!,"AAAAAG7992E=")</f>
        <v>#REF!</v>
      </c>
      <c r="CU67" t="e">
        <f>AND(#REF!,"AAAAAG7992I=")</f>
        <v>#REF!</v>
      </c>
      <c r="CV67" t="e">
        <f>AND(#REF!,"AAAAAG7992M=")</f>
        <v>#REF!</v>
      </c>
      <c r="CW67" t="e">
        <f>AND(#REF!,"AAAAAG7992Q=")</f>
        <v>#REF!</v>
      </c>
      <c r="CX67" t="e">
        <f>AND(#REF!,"AAAAAG7992U=")</f>
        <v>#REF!</v>
      </c>
      <c r="CY67" t="e">
        <f>AND(#REF!,"AAAAAG7992Y=")</f>
        <v>#REF!</v>
      </c>
      <c r="CZ67" t="e">
        <f>AND(#REF!,"AAAAAG7992c=")</f>
        <v>#REF!</v>
      </c>
      <c r="DA67" t="e">
        <f>AND(#REF!,"AAAAAG7992g=")</f>
        <v>#REF!</v>
      </c>
      <c r="DB67" t="e">
        <f>AND(#REF!,"AAAAAG7992k=")</f>
        <v>#REF!</v>
      </c>
      <c r="DC67" t="e">
        <f>AND(#REF!,"AAAAAG7992o=")</f>
        <v>#REF!</v>
      </c>
      <c r="DD67" t="e">
        <f>AND(#REF!,"AAAAAG7992s=")</f>
        <v>#REF!</v>
      </c>
      <c r="DE67" t="e">
        <f>AND(#REF!,"AAAAAG7992w=")</f>
        <v>#REF!</v>
      </c>
      <c r="DF67" t="e">
        <f>AND(#REF!,"AAAAAG79920=")</f>
        <v>#REF!</v>
      </c>
      <c r="DG67" t="e">
        <f>AND(#REF!,"AAAAAG79924=")</f>
        <v>#REF!</v>
      </c>
      <c r="DH67" t="e">
        <f>IF(#REF!,"AAAAAG79928=",0)</f>
        <v>#REF!</v>
      </c>
      <c r="DI67" t="e">
        <f>AND(#REF!,"AAAAAG7993A=")</f>
        <v>#REF!</v>
      </c>
      <c r="DJ67" t="e">
        <f>AND(#REF!,"AAAAAG7993E=")</f>
        <v>#REF!</v>
      </c>
      <c r="DK67" t="e">
        <f>AND(#REF!,"AAAAAG7993I=")</f>
        <v>#REF!</v>
      </c>
      <c r="DL67" t="e">
        <f>AND(#REF!,"AAAAAG7993M=")</f>
        <v>#REF!</v>
      </c>
      <c r="DM67" t="e">
        <f>AND(#REF!,"AAAAAG7993Q=")</f>
        <v>#REF!</v>
      </c>
      <c r="DN67" t="e">
        <f>AND(#REF!,"AAAAAG7993U=")</f>
        <v>#REF!</v>
      </c>
      <c r="DO67" t="e">
        <f>AND(#REF!,"AAAAAG7993Y=")</f>
        <v>#REF!</v>
      </c>
      <c r="DP67" t="e">
        <f>AND(#REF!,"AAAAAG7993c=")</f>
        <v>#REF!</v>
      </c>
      <c r="DQ67" t="e">
        <f>AND(#REF!,"AAAAAG7993g=")</f>
        <v>#REF!</v>
      </c>
      <c r="DR67" t="e">
        <f>AND(#REF!,"AAAAAG7993k=")</f>
        <v>#REF!</v>
      </c>
      <c r="DS67" t="e">
        <f>AND(#REF!,"AAAAAG7993o=")</f>
        <v>#REF!</v>
      </c>
      <c r="DT67" t="e">
        <f>AND(#REF!,"AAAAAG7993s=")</f>
        <v>#REF!</v>
      </c>
      <c r="DU67" t="e">
        <f>AND(#REF!,"AAAAAG7993w=")</f>
        <v>#REF!</v>
      </c>
      <c r="DV67" t="e">
        <f>AND(#REF!,"AAAAAG79930=")</f>
        <v>#REF!</v>
      </c>
      <c r="DW67" t="e">
        <f>AND(#REF!,"AAAAAG79934=")</f>
        <v>#REF!</v>
      </c>
      <c r="DX67" t="e">
        <f>AND(#REF!,"AAAAAG79938=")</f>
        <v>#REF!</v>
      </c>
      <c r="DY67" t="e">
        <f>IF(#REF!,"AAAAAG7994A=",0)</f>
        <v>#REF!</v>
      </c>
      <c r="DZ67" t="e">
        <f>AND(#REF!,"AAAAAG7994E=")</f>
        <v>#REF!</v>
      </c>
      <c r="EA67" t="e">
        <f>AND(#REF!,"AAAAAG7994I=")</f>
        <v>#REF!</v>
      </c>
      <c r="EB67" t="e">
        <f>AND(#REF!,"AAAAAG7994M=")</f>
        <v>#REF!</v>
      </c>
      <c r="EC67" t="e">
        <f>AND(#REF!,"AAAAAG7994Q=")</f>
        <v>#REF!</v>
      </c>
      <c r="ED67" t="e">
        <f>AND(#REF!,"AAAAAG7994U=")</f>
        <v>#REF!</v>
      </c>
      <c r="EE67" t="e">
        <f>AND(#REF!,"AAAAAG7994Y=")</f>
        <v>#REF!</v>
      </c>
      <c r="EF67" t="e">
        <f>AND(#REF!,"AAAAAG7994c=")</f>
        <v>#REF!</v>
      </c>
      <c r="EG67" t="e">
        <f>AND(#REF!,"AAAAAG7994g=")</f>
        <v>#REF!</v>
      </c>
      <c r="EH67" t="e">
        <f>AND(#REF!,"AAAAAG7994k=")</f>
        <v>#REF!</v>
      </c>
      <c r="EI67" t="e">
        <f>AND(#REF!,"AAAAAG7994o=")</f>
        <v>#REF!</v>
      </c>
      <c r="EJ67" t="e">
        <f>AND(#REF!,"AAAAAG7994s=")</f>
        <v>#REF!</v>
      </c>
      <c r="EK67" t="e">
        <f>AND(#REF!,"AAAAAG7994w=")</f>
        <v>#REF!</v>
      </c>
      <c r="EL67" t="e">
        <f>AND(#REF!,"AAAAAG79940=")</f>
        <v>#REF!</v>
      </c>
      <c r="EM67" t="e">
        <f>AND(#REF!,"AAAAAG79944=")</f>
        <v>#REF!</v>
      </c>
      <c r="EN67" t="e">
        <f>AND(#REF!,"AAAAAG79948=")</f>
        <v>#REF!</v>
      </c>
      <c r="EO67" t="e">
        <f>AND(#REF!,"AAAAAG7995A=")</f>
        <v>#REF!</v>
      </c>
      <c r="EP67" t="e">
        <f>IF(#REF!,"AAAAAG7995E=",0)</f>
        <v>#REF!</v>
      </c>
      <c r="EQ67" t="e">
        <f>AND(#REF!,"AAAAAG7995I=")</f>
        <v>#REF!</v>
      </c>
      <c r="ER67" t="e">
        <f>AND(#REF!,"AAAAAG7995M=")</f>
        <v>#REF!</v>
      </c>
      <c r="ES67" t="e">
        <f>AND(#REF!,"AAAAAG7995Q=")</f>
        <v>#REF!</v>
      </c>
      <c r="ET67" t="e">
        <f>AND(#REF!,"AAAAAG7995U=")</f>
        <v>#REF!</v>
      </c>
      <c r="EU67" t="e">
        <f>AND(#REF!,"AAAAAG7995Y=")</f>
        <v>#REF!</v>
      </c>
      <c r="EV67" t="e">
        <f>AND(#REF!,"AAAAAG7995c=")</f>
        <v>#REF!</v>
      </c>
      <c r="EW67" t="e">
        <f>AND(#REF!,"AAAAAG7995g=")</f>
        <v>#REF!</v>
      </c>
      <c r="EX67" t="e">
        <f>AND(#REF!,"AAAAAG7995k=")</f>
        <v>#REF!</v>
      </c>
      <c r="EY67" t="e">
        <f>AND(#REF!,"AAAAAG7995o=")</f>
        <v>#REF!</v>
      </c>
      <c r="EZ67" t="e">
        <f>AND(#REF!,"AAAAAG7995s=")</f>
        <v>#REF!</v>
      </c>
      <c r="FA67" t="e">
        <f>AND(#REF!,"AAAAAG7995w=")</f>
        <v>#REF!</v>
      </c>
      <c r="FB67" t="e">
        <f>AND(#REF!,"AAAAAG79950=")</f>
        <v>#REF!</v>
      </c>
      <c r="FC67" t="e">
        <f>AND(#REF!,"AAAAAG79954=")</f>
        <v>#REF!</v>
      </c>
      <c r="FD67" t="e">
        <f>AND(#REF!,"AAAAAG79958=")</f>
        <v>#REF!</v>
      </c>
      <c r="FE67" t="e">
        <f>AND(#REF!,"AAAAAG7996A=")</f>
        <v>#REF!</v>
      </c>
      <c r="FF67" t="e">
        <f>AND(#REF!,"AAAAAG7996E=")</f>
        <v>#REF!</v>
      </c>
      <c r="FG67" t="e">
        <f>IF(#REF!,"AAAAAG7996I=",0)</f>
        <v>#REF!</v>
      </c>
      <c r="FH67" t="e">
        <f>AND(#REF!,"AAAAAG7996M=")</f>
        <v>#REF!</v>
      </c>
      <c r="FI67" t="e">
        <f>AND(#REF!,"AAAAAG7996Q=")</f>
        <v>#REF!</v>
      </c>
      <c r="FJ67" t="e">
        <f>AND(#REF!,"AAAAAG7996U=")</f>
        <v>#REF!</v>
      </c>
      <c r="FK67" t="e">
        <f>AND(#REF!,"AAAAAG7996Y=")</f>
        <v>#REF!</v>
      </c>
      <c r="FL67" t="e">
        <f>AND(#REF!,"AAAAAG7996c=")</f>
        <v>#REF!</v>
      </c>
      <c r="FM67" t="e">
        <f>AND(#REF!,"AAAAAG7996g=")</f>
        <v>#REF!</v>
      </c>
      <c r="FN67" t="e">
        <f>AND(#REF!,"AAAAAG7996k=")</f>
        <v>#REF!</v>
      </c>
      <c r="FO67" t="e">
        <f>AND(#REF!,"AAAAAG7996o=")</f>
        <v>#REF!</v>
      </c>
      <c r="FP67" t="e">
        <f>AND(#REF!,"AAAAAG7996s=")</f>
        <v>#REF!</v>
      </c>
      <c r="FQ67" t="e">
        <f>AND(#REF!,"AAAAAG7996w=")</f>
        <v>#REF!</v>
      </c>
      <c r="FR67" t="e">
        <f>AND(#REF!,"AAAAAG79960=")</f>
        <v>#REF!</v>
      </c>
      <c r="FS67" t="e">
        <f>AND(#REF!,"AAAAAG79964=")</f>
        <v>#REF!</v>
      </c>
      <c r="FT67" t="e">
        <f>AND(#REF!,"AAAAAG79968=")</f>
        <v>#REF!</v>
      </c>
      <c r="FU67" t="e">
        <f>AND(#REF!,"AAAAAG7997A=")</f>
        <v>#REF!</v>
      </c>
      <c r="FV67" t="e">
        <f>AND(#REF!,"AAAAAG7997E=")</f>
        <v>#REF!</v>
      </c>
      <c r="FW67" t="e">
        <f>AND(#REF!,"AAAAAG7997I=")</f>
        <v>#REF!</v>
      </c>
      <c r="FX67" t="e">
        <f>IF(#REF!,"AAAAAG7997M=",0)</f>
        <v>#REF!</v>
      </c>
      <c r="FY67" t="e">
        <f>AND(#REF!,"AAAAAG7997Q=")</f>
        <v>#REF!</v>
      </c>
      <c r="FZ67" t="e">
        <f>AND(#REF!,"AAAAAG7997U=")</f>
        <v>#REF!</v>
      </c>
      <c r="GA67" t="e">
        <f>AND(#REF!,"AAAAAG7997Y=")</f>
        <v>#REF!</v>
      </c>
      <c r="GB67" t="e">
        <f>AND(#REF!,"AAAAAG7997c=")</f>
        <v>#REF!</v>
      </c>
      <c r="GC67" t="e">
        <f>AND(#REF!,"AAAAAG7997g=")</f>
        <v>#REF!</v>
      </c>
      <c r="GD67" t="e">
        <f>AND(#REF!,"AAAAAG7997k=")</f>
        <v>#REF!</v>
      </c>
      <c r="GE67" t="e">
        <f>AND(#REF!,"AAAAAG7997o=")</f>
        <v>#REF!</v>
      </c>
      <c r="GF67" t="e">
        <f>AND(#REF!,"AAAAAG7997s=")</f>
        <v>#REF!</v>
      </c>
      <c r="GG67" t="e">
        <f>AND(#REF!,"AAAAAG7997w=")</f>
        <v>#REF!</v>
      </c>
      <c r="GH67" t="e">
        <f>AND(#REF!,"AAAAAG79970=")</f>
        <v>#REF!</v>
      </c>
      <c r="GI67" t="e">
        <f>AND(#REF!,"AAAAAG79974=")</f>
        <v>#REF!</v>
      </c>
      <c r="GJ67" t="e">
        <f>AND(#REF!,"AAAAAG79978=")</f>
        <v>#REF!</v>
      </c>
      <c r="GK67" t="e">
        <f>AND(#REF!,"AAAAAG7998A=")</f>
        <v>#REF!</v>
      </c>
      <c r="GL67" t="e">
        <f>AND(#REF!,"AAAAAG7998E=")</f>
        <v>#REF!</v>
      </c>
      <c r="GM67" t="e">
        <f>AND(#REF!,"AAAAAG7998I=")</f>
        <v>#REF!</v>
      </c>
      <c r="GN67" t="e">
        <f>AND(#REF!,"AAAAAG7998M=")</f>
        <v>#REF!</v>
      </c>
      <c r="GO67" t="e">
        <f>IF(#REF!,"AAAAAG7998Q=",0)</f>
        <v>#REF!</v>
      </c>
      <c r="GP67" t="e">
        <f>AND(#REF!,"AAAAAG7998U=")</f>
        <v>#REF!</v>
      </c>
      <c r="GQ67" t="e">
        <f>AND(#REF!,"AAAAAG7998Y=")</f>
        <v>#REF!</v>
      </c>
      <c r="GR67" t="e">
        <f>AND(#REF!,"AAAAAG7998c=")</f>
        <v>#REF!</v>
      </c>
      <c r="GS67" t="e">
        <f>AND(#REF!,"AAAAAG7998g=")</f>
        <v>#REF!</v>
      </c>
      <c r="GT67" t="e">
        <f>AND(#REF!,"AAAAAG7998k=")</f>
        <v>#REF!</v>
      </c>
      <c r="GU67" t="e">
        <f>AND(#REF!,"AAAAAG7998o=")</f>
        <v>#REF!</v>
      </c>
      <c r="GV67" t="e">
        <f>AND(#REF!,"AAAAAG7998s=")</f>
        <v>#REF!</v>
      </c>
      <c r="GW67" t="e">
        <f>AND(#REF!,"AAAAAG7998w=")</f>
        <v>#REF!</v>
      </c>
      <c r="GX67" t="e">
        <f>AND(#REF!,"AAAAAG79980=")</f>
        <v>#REF!</v>
      </c>
      <c r="GY67" t="e">
        <f>AND(#REF!,"AAAAAG79984=")</f>
        <v>#REF!</v>
      </c>
      <c r="GZ67" t="e">
        <f>AND(#REF!,"AAAAAG79988=")</f>
        <v>#REF!</v>
      </c>
      <c r="HA67" t="e">
        <f>AND(#REF!,"AAAAAG7999A=")</f>
        <v>#REF!</v>
      </c>
      <c r="HB67" t="e">
        <f>AND(#REF!,"AAAAAG7999E=")</f>
        <v>#REF!</v>
      </c>
      <c r="HC67" t="e">
        <f>AND(#REF!,"AAAAAG7999I=")</f>
        <v>#REF!</v>
      </c>
      <c r="HD67" t="e">
        <f>AND(#REF!,"AAAAAG7999M=")</f>
        <v>#REF!</v>
      </c>
      <c r="HE67" t="e">
        <f>AND(#REF!,"AAAAAG7999Q=")</f>
        <v>#REF!</v>
      </c>
      <c r="HF67" t="e">
        <f>IF(#REF!,"AAAAAG7999U=",0)</f>
        <v>#REF!</v>
      </c>
      <c r="HG67" t="e">
        <f>AND(#REF!,"AAAAAG7999Y=")</f>
        <v>#REF!</v>
      </c>
      <c r="HH67" t="e">
        <f>AND(#REF!,"AAAAAG7999c=")</f>
        <v>#REF!</v>
      </c>
      <c r="HI67" t="e">
        <f>AND(#REF!,"AAAAAG7999g=")</f>
        <v>#REF!</v>
      </c>
      <c r="HJ67" t="e">
        <f>AND(#REF!,"AAAAAG7999k=")</f>
        <v>#REF!</v>
      </c>
      <c r="HK67" t="e">
        <f>AND(#REF!,"AAAAAG7999o=")</f>
        <v>#REF!</v>
      </c>
      <c r="HL67" t="e">
        <f>AND(#REF!,"AAAAAG7999s=")</f>
        <v>#REF!</v>
      </c>
      <c r="HM67" t="e">
        <f>AND(#REF!,"AAAAAG7999w=")</f>
        <v>#REF!</v>
      </c>
      <c r="HN67" t="e">
        <f>AND(#REF!,"AAAAAG79990=")</f>
        <v>#REF!</v>
      </c>
      <c r="HO67" t="e">
        <f>AND(#REF!,"AAAAAG79994=")</f>
        <v>#REF!</v>
      </c>
      <c r="HP67" t="e">
        <f>AND(#REF!,"AAAAAG79998=")</f>
        <v>#REF!</v>
      </c>
      <c r="HQ67" t="e">
        <f>AND(#REF!,"AAAAAG799+A=")</f>
        <v>#REF!</v>
      </c>
      <c r="HR67" t="e">
        <f>AND(#REF!,"AAAAAG799+E=")</f>
        <v>#REF!</v>
      </c>
      <c r="HS67" t="e">
        <f>AND(#REF!,"AAAAAG799+I=")</f>
        <v>#REF!</v>
      </c>
      <c r="HT67" t="e">
        <f>AND(#REF!,"AAAAAG799+M=")</f>
        <v>#REF!</v>
      </c>
      <c r="HU67" t="e">
        <f>AND(#REF!,"AAAAAG799+Q=")</f>
        <v>#REF!</v>
      </c>
      <c r="HV67" t="e">
        <f>AND(#REF!,"AAAAAG799+U=")</f>
        <v>#REF!</v>
      </c>
      <c r="HW67" t="e">
        <f>IF(#REF!,"AAAAAG799+Y=",0)</f>
        <v>#REF!</v>
      </c>
      <c r="HX67" t="e">
        <f>AND(#REF!,"AAAAAG799+c=")</f>
        <v>#REF!</v>
      </c>
      <c r="HY67" t="e">
        <f>AND(#REF!,"AAAAAG799+g=")</f>
        <v>#REF!</v>
      </c>
      <c r="HZ67" t="e">
        <f>AND(#REF!,"AAAAAG799+k=")</f>
        <v>#REF!</v>
      </c>
      <c r="IA67" t="e">
        <f>AND(#REF!,"AAAAAG799+o=")</f>
        <v>#REF!</v>
      </c>
      <c r="IB67" t="e">
        <f>AND(#REF!,"AAAAAG799+s=")</f>
        <v>#REF!</v>
      </c>
      <c r="IC67" t="e">
        <f>AND(#REF!,"AAAAAG799+w=")</f>
        <v>#REF!</v>
      </c>
      <c r="ID67" t="e">
        <f>AND(#REF!,"AAAAAG799+0=")</f>
        <v>#REF!</v>
      </c>
      <c r="IE67" t="e">
        <f>AND(#REF!,"AAAAAG799+4=")</f>
        <v>#REF!</v>
      </c>
      <c r="IF67" t="e">
        <f>AND(#REF!,"AAAAAG799+8=")</f>
        <v>#REF!</v>
      </c>
      <c r="IG67" t="e">
        <f>AND(#REF!,"AAAAAG799/A=")</f>
        <v>#REF!</v>
      </c>
      <c r="IH67" t="e">
        <f>AND(#REF!,"AAAAAG799/E=")</f>
        <v>#REF!</v>
      </c>
      <c r="II67" t="e">
        <f>AND(#REF!,"AAAAAG799/I=")</f>
        <v>#REF!</v>
      </c>
      <c r="IJ67" t="e">
        <f>AND(#REF!,"AAAAAG799/M=")</f>
        <v>#REF!</v>
      </c>
      <c r="IK67" t="e">
        <f>AND(#REF!,"AAAAAG799/Q=")</f>
        <v>#REF!</v>
      </c>
      <c r="IL67" t="e">
        <f>AND(#REF!,"AAAAAG799/U=")</f>
        <v>#REF!</v>
      </c>
      <c r="IM67" t="e">
        <f>AND(#REF!,"AAAAAG799/Y=")</f>
        <v>#REF!</v>
      </c>
      <c r="IN67" t="e">
        <f>IF(#REF!,"AAAAAG799/c=",0)</f>
        <v>#REF!</v>
      </c>
      <c r="IO67" t="e">
        <f>AND(#REF!,"AAAAAG799/g=")</f>
        <v>#REF!</v>
      </c>
      <c r="IP67" t="e">
        <f>AND(#REF!,"AAAAAG799/k=")</f>
        <v>#REF!</v>
      </c>
      <c r="IQ67" t="e">
        <f>AND(#REF!,"AAAAAG799/o=")</f>
        <v>#REF!</v>
      </c>
      <c r="IR67" t="e">
        <f>AND(#REF!,"AAAAAG799/s=")</f>
        <v>#REF!</v>
      </c>
      <c r="IS67" t="e">
        <f>AND(#REF!,"AAAAAG799/w=")</f>
        <v>#REF!</v>
      </c>
      <c r="IT67" t="e">
        <f>AND(#REF!,"AAAAAG799/0=")</f>
        <v>#REF!</v>
      </c>
      <c r="IU67" t="e">
        <f>AND(#REF!,"AAAAAG799/4=")</f>
        <v>#REF!</v>
      </c>
      <c r="IV67" t="e">
        <f>AND(#REF!,"AAAAAG799/8=")</f>
        <v>#REF!</v>
      </c>
    </row>
    <row r="68" spans="1:256" x14ac:dyDescent="0.25">
      <c r="A68" t="e">
        <f>AND(#REF!,"AAAAADv//wA=")</f>
        <v>#REF!</v>
      </c>
      <c r="B68" t="e">
        <f>AND(#REF!,"AAAAADv//wE=")</f>
        <v>#REF!</v>
      </c>
      <c r="C68" t="e">
        <f>AND(#REF!,"AAAAADv//wI=")</f>
        <v>#REF!</v>
      </c>
      <c r="D68" t="e">
        <f>AND(#REF!,"AAAAADv//wM=")</f>
        <v>#REF!</v>
      </c>
      <c r="E68" t="e">
        <f>AND(#REF!,"AAAAADv//wQ=")</f>
        <v>#REF!</v>
      </c>
      <c r="F68" t="e">
        <f>AND(#REF!,"AAAAADv//wU=")</f>
        <v>#REF!</v>
      </c>
      <c r="G68" t="e">
        <f>AND(#REF!,"AAAAADv//wY=")</f>
        <v>#REF!</v>
      </c>
      <c r="H68" t="e">
        <f>AND(#REF!,"AAAAADv//wc=")</f>
        <v>#REF!</v>
      </c>
      <c r="I68" t="e">
        <f>IF(#REF!,"AAAAADv//wg=",0)</f>
        <v>#REF!</v>
      </c>
      <c r="J68" t="e">
        <f>AND(#REF!,"AAAAADv//wk=")</f>
        <v>#REF!</v>
      </c>
      <c r="K68" t="e">
        <f>AND(#REF!,"AAAAADv//wo=")</f>
        <v>#REF!</v>
      </c>
      <c r="L68" t="e">
        <f>AND(#REF!,"AAAAADv//ws=")</f>
        <v>#REF!</v>
      </c>
      <c r="M68" t="e">
        <f>AND(#REF!,"AAAAADv//ww=")</f>
        <v>#REF!</v>
      </c>
      <c r="N68" t="e">
        <f>AND(#REF!,"AAAAADv//w0=")</f>
        <v>#REF!</v>
      </c>
      <c r="O68" t="e">
        <f>AND(#REF!,"AAAAADv//w4=")</f>
        <v>#REF!</v>
      </c>
      <c r="P68" t="e">
        <f>AND(#REF!,"AAAAADv//w8=")</f>
        <v>#REF!</v>
      </c>
      <c r="Q68" t="e">
        <f>AND(#REF!,"AAAAADv//xA=")</f>
        <v>#REF!</v>
      </c>
      <c r="R68" t="e">
        <f>AND(#REF!,"AAAAADv//xE=")</f>
        <v>#REF!</v>
      </c>
      <c r="S68" t="e">
        <f>AND(#REF!,"AAAAADv//xI=")</f>
        <v>#REF!</v>
      </c>
      <c r="T68" t="e">
        <f>AND(#REF!,"AAAAADv//xM=")</f>
        <v>#REF!</v>
      </c>
      <c r="U68" t="e">
        <f>AND(#REF!,"AAAAADv//xQ=")</f>
        <v>#REF!</v>
      </c>
      <c r="V68" t="e">
        <f>AND(#REF!,"AAAAADv//xU=")</f>
        <v>#REF!</v>
      </c>
      <c r="W68" t="e">
        <f>AND(#REF!,"AAAAADv//xY=")</f>
        <v>#REF!</v>
      </c>
      <c r="X68" t="e">
        <f>AND(#REF!,"AAAAADv//xc=")</f>
        <v>#REF!</v>
      </c>
      <c r="Y68" t="e">
        <f>AND(#REF!,"AAAAADv//xg=")</f>
        <v>#REF!</v>
      </c>
      <c r="Z68" t="e">
        <f>IF(#REF!,"AAAAADv//xk=",0)</f>
        <v>#REF!</v>
      </c>
      <c r="AA68" t="e">
        <f>AND(#REF!,"AAAAADv//xo=")</f>
        <v>#REF!</v>
      </c>
      <c r="AB68" t="e">
        <f>AND(#REF!,"AAAAADv//xs=")</f>
        <v>#REF!</v>
      </c>
      <c r="AC68" t="e">
        <f>AND(#REF!,"AAAAADv//xw=")</f>
        <v>#REF!</v>
      </c>
      <c r="AD68" t="e">
        <f>AND(#REF!,"AAAAADv//x0=")</f>
        <v>#REF!</v>
      </c>
      <c r="AE68" t="e">
        <f>AND(#REF!,"AAAAADv//x4=")</f>
        <v>#REF!</v>
      </c>
      <c r="AF68" t="e">
        <f>AND(#REF!,"AAAAADv//x8=")</f>
        <v>#REF!</v>
      </c>
      <c r="AG68" t="e">
        <f>AND(#REF!,"AAAAADv//yA=")</f>
        <v>#REF!</v>
      </c>
      <c r="AH68" t="e">
        <f>AND(#REF!,"AAAAADv//yE=")</f>
        <v>#REF!</v>
      </c>
      <c r="AI68" t="e">
        <f>AND(#REF!,"AAAAADv//yI=")</f>
        <v>#REF!</v>
      </c>
      <c r="AJ68" t="e">
        <f>AND(#REF!,"AAAAADv//yM=")</f>
        <v>#REF!</v>
      </c>
      <c r="AK68" t="e">
        <f>AND(#REF!,"AAAAADv//yQ=")</f>
        <v>#REF!</v>
      </c>
      <c r="AL68" t="e">
        <f>AND(#REF!,"AAAAADv//yU=")</f>
        <v>#REF!</v>
      </c>
      <c r="AM68" t="e">
        <f>AND(#REF!,"AAAAADv//yY=")</f>
        <v>#REF!</v>
      </c>
      <c r="AN68" t="e">
        <f>AND(#REF!,"AAAAADv//yc=")</f>
        <v>#REF!</v>
      </c>
      <c r="AO68" t="e">
        <f>AND(#REF!,"AAAAADv//yg=")</f>
        <v>#REF!</v>
      </c>
      <c r="AP68" t="e">
        <f>AND(#REF!,"AAAAADv//yk=")</f>
        <v>#REF!</v>
      </c>
      <c r="AQ68" t="e">
        <f>IF(#REF!,"AAAAADv//yo=",0)</f>
        <v>#REF!</v>
      </c>
      <c r="AR68" t="e">
        <f>AND(#REF!,"AAAAADv//ys=")</f>
        <v>#REF!</v>
      </c>
      <c r="AS68" t="e">
        <f>AND(#REF!,"AAAAADv//yw=")</f>
        <v>#REF!</v>
      </c>
      <c r="AT68" t="e">
        <f>AND(#REF!,"AAAAADv//y0=")</f>
        <v>#REF!</v>
      </c>
      <c r="AU68" t="e">
        <f>AND(#REF!,"AAAAADv//y4=")</f>
        <v>#REF!</v>
      </c>
      <c r="AV68" t="e">
        <f>AND(#REF!,"AAAAADv//y8=")</f>
        <v>#REF!</v>
      </c>
      <c r="AW68" t="e">
        <f>AND(#REF!,"AAAAADv//zA=")</f>
        <v>#REF!</v>
      </c>
      <c r="AX68" t="e">
        <f>AND(#REF!,"AAAAADv//zE=")</f>
        <v>#REF!</v>
      </c>
      <c r="AY68" t="e">
        <f>AND(#REF!,"AAAAADv//zI=")</f>
        <v>#REF!</v>
      </c>
      <c r="AZ68" t="e">
        <f>AND(#REF!,"AAAAADv//zM=")</f>
        <v>#REF!</v>
      </c>
      <c r="BA68" t="e">
        <f>AND(#REF!,"AAAAADv//zQ=")</f>
        <v>#REF!</v>
      </c>
      <c r="BB68" t="e">
        <f>AND(#REF!,"AAAAADv//zU=")</f>
        <v>#REF!</v>
      </c>
      <c r="BC68" t="e">
        <f>AND(#REF!,"AAAAADv//zY=")</f>
        <v>#REF!</v>
      </c>
      <c r="BD68" t="e">
        <f>AND(#REF!,"AAAAADv//zc=")</f>
        <v>#REF!</v>
      </c>
      <c r="BE68" t="e">
        <f>AND(#REF!,"AAAAADv//zg=")</f>
        <v>#REF!</v>
      </c>
      <c r="BF68" t="e">
        <f>AND(#REF!,"AAAAADv//zk=")</f>
        <v>#REF!</v>
      </c>
      <c r="BG68" t="e">
        <f>AND(#REF!,"AAAAADv//zo=")</f>
        <v>#REF!</v>
      </c>
      <c r="BH68" t="e">
        <f>IF(#REF!,"AAAAADv//zs=",0)</f>
        <v>#REF!</v>
      </c>
      <c r="BI68" t="e">
        <f>AND(#REF!,"AAAAADv//zw=")</f>
        <v>#REF!</v>
      </c>
      <c r="BJ68" t="e">
        <f>AND(#REF!,"AAAAADv//z0=")</f>
        <v>#REF!</v>
      </c>
      <c r="BK68" t="e">
        <f>AND(#REF!,"AAAAADv//z4=")</f>
        <v>#REF!</v>
      </c>
      <c r="BL68" t="e">
        <f>AND(#REF!,"AAAAADv//z8=")</f>
        <v>#REF!</v>
      </c>
      <c r="BM68" t="e">
        <f>AND(#REF!,"AAAAADv//0A=")</f>
        <v>#REF!</v>
      </c>
      <c r="BN68" t="e">
        <f>AND(#REF!,"AAAAADv//0E=")</f>
        <v>#REF!</v>
      </c>
      <c r="BO68" t="e">
        <f>AND(#REF!,"AAAAADv//0I=")</f>
        <v>#REF!</v>
      </c>
      <c r="BP68" t="e">
        <f>AND(#REF!,"AAAAADv//0M=")</f>
        <v>#REF!</v>
      </c>
      <c r="BQ68" t="e">
        <f>AND(#REF!,"AAAAADv//0Q=")</f>
        <v>#REF!</v>
      </c>
      <c r="BR68" t="e">
        <f>AND(#REF!,"AAAAADv//0U=")</f>
        <v>#REF!</v>
      </c>
      <c r="BS68" t="e">
        <f>AND(#REF!,"AAAAADv//0Y=")</f>
        <v>#REF!</v>
      </c>
      <c r="BT68" t="e">
        <f>AND(#REF!,"AAAAADv//0c=")</f>
        <v>#REF!</v>
      </c>
      <c r="BU68" t="e">
        <f>AND(#REF!,"AAAAADv//0g=")</f>
        <v>#REF!</v>
      </c>
      <c r="BV68" t="e">
        <f>AND(#REF!,"AAAAADv//0k=")</f>
        <v>#REF!</v>
      </c>
      <c r="BW68" t="e">
        <f>AND(#REF!,"AAAAADv//0o=")</f>
        <v>#REF!</v>
      </c>
      <c r="BX68" t="e">
        <f>AND(#REF!,"AAAAADv//0s=")</f>
        <v>#REF!</v>
      </c>
      <c r="BY68" t="e">
        <f>IF(#REF!,"AAAAADv//0w=",0)</f>
        <v>#REF!</v>
      </c>
      <c r="BZ68" t="e">
        <f>AND(#REF!,"AAAAADv//00=")</f>
        <v>#REF!</v>
      </c>
      <c r="CA68" t="e">
        <f>AND(#REF!,"AAAAADv//04=")</f>
        <v>#REF!</v>
      </c>
      <c r="CB68" t="e">
        <f>AND(#REF!,"AAAAADv//08=")</f>
        <v>#REF!</v>
      </c>
      <c r="CC68" t="e">
        <f>AND(#REF!,"AAAAADv//1A=")</f>
        <v>#REF!</v>
      </c>
      <c r="CD68" t="e">
        <f>AND(#REF!,"AAAAADv//1E=")</f>
        <v>#REF!</v>
      </c>
      <c r="CE68" t="e">
        <f>AND(#REF!,"AAAAADv//1I=")</f>
        <v>#REF!</v>
      </c>
      <c r="CF68" t="e">
        <f>AND(#REF!,"AAAAADv//1M=")</f>
        <v>#REF!</v>
      </c>
      <c r="CG68" t="e">
        <f>AND(#REF!,"AAAAADv//1Q=")</f>
        <v>#REF!</v>
      </c>
      <c r="CH68" t="e">
        <f>AND(#REF!,"AAAAADv//1U=")</f>
        <v>#REF!</v>
      </c>
      <c r="CI68" t="e">
        <f>AND(#REF!,"AAAAADv//1Y=")</f>
        <v>#REF!</v>
      </c>
      <c r="CJ68" t="e">
        <f>AND(#REF!,"AAAAADv//1c=")</f>
        <v>#REF!</v>
      </c>
      <c r="CK68" t="e">
        <f>AND(#REF!,"AAAAADv//1g=")</f>
        <v>#REF!</v>
      </c>
      <c r="CL68" t="e">
        <f>AND(#REF!,"AAAAADv//1k=")</f>
        <v>#REF!</v>
      </c>
      <c r="CM68" t="e">
        <f>AND(#REF!,"AAAAADv//1o=")</f>
        <v>#REF!</v>
      </c>
      <c r="CN68" t="e">
        <f>AND(#REF!,"AAAAADv//1s=")</f>
        <v>#REF!</v>
      </c>
      <c r="CO68" t="e">
        <f>AND(#REF!,"AAAAADv//1w=")</f>
        <v>#REF!</v>
      </c>
      <c r="CP68" t="e">
        <f>IF(#REF!,"AAAAADv//10=",0)</f>
        <v>#REF!</v>
      </c>
      <c r="CQ68" t="e">
        <f>AND(#REF!,"AAAAADv//14=")</f>
        <v>#REF!</v>
      </c>
      <c r="CR68" t="e">
        <f>AND(#REF!,"AAAAADv//18=")</f>
        <v>#REF!</v>
      </c>
      <c r="CS68" t="e">
        <f>AND(#REF!,"AAAAADv//2A=")</f>
        <v>#REF!</v>
      </c>
      <c r="CT68" t="e">
        <f>AND(#REF!,"AAAAADv//2E=")</f>
        <v>#REF!</v>
      </c>
      <c r="CU68" t="e">
        <f>AND(#REF!,"AAAAADv//2I=")</f>
        <v>#REF!</v>
      </c>
      <c r="CV68" t="e">
        <f>AND(#REF!,"AAAAADv//2M=")</f>
        <v>#REF!</v>
      </c>
      <c r="CW68" t="e">
        <f>AND(#REF!,"AAAAADv//2Q=")</f>
        <v>#REF!</v>
      </c>
      <c r="CX68" t="e">
        <f>AND(#REF!,"AAAAADv//2U=")</f>
        <v>#REF!</v>
      </c>
      <c r="CY68" t="e">
        <f>AND(#REF!,"AAAAADv//2Y=")</f>
        <v>#REF!</v>
      </c>
      <c r="CZ68" t="e">
        <f>AND(#REF!,"AAAAADv//2c=")</f>
        <v>#REF!</v>
      </c>
      <c r="DA68" t="e">
        <f>AND(#REF!,"AAAAADv//2g=")</f>
        <v>#REF!</v>
      </c>
      <c r="DB68" t="e">
        <f>AND(#REF!,"AAAAADv//2k=")</f>
        <v>#REF!</v>
      </c>
      <c r="DC68" t="e">
        <f>AND(#REF!,"AAAAADv//2o=")</f>
        <v>#REF!</v>
      </c>
      <c r="DD68" t="e">
        <f>AND(#REF!,"AAAAADv//2s=")</f>
        <v>#REF!</v>
      </c>
      <c r="DE68" t="e">
        <f>AND(#REF!,"AAAAADv//2w=")</f>
        <v>#REF!</v>
      </c>
      <c r="DF68" t="e">
        <f>AND(#REF!,"AAAAADv//20=")</f>
        <v>#REF!</v>
      </c>
      <c r="DG68" t="e">
        <f>IF(#REF!,"AAAAADv//24=",0)</f>
        <v>#REF!</v>
      </c>
      <c r="DH68" t="e">
        <f>AND(#REF!,"AAAAADv//28=")</f>
        <v>#REF!</v>
      </c>
      <c r="DI68" t="e">
        <f>AND(#REF!,"AAAAADv//3A=")</f>
        <v>#REF!</v>
      </c>
      <c r="DJ68" t="e">
        <f>AND(#REF!,"AAAAADv//3E=")</f>
        <v>#REF!</v>
      </c>
      <c r="DK68" t="e">
        <f>AND(#REF!,"AAAAADv//3I=")</f>
        <v>#REF!</v>
      </c>
      <c r="DL68" t="e">
        <f>AND(#REF!,"AAAAADv//3M=")</f>
        <v>#REF!</v>
      </c>
      <c r="DM68" t="e">
        <f>AND(#REF!,"AAAAADv//3Q=")</f>
        <v>#REF!</v>
      </c>
      <c r="DN68" t="e">
        <f>AND(#REF!,"AAAAADv//3U=")</f>
        <v>#REF!</v>
      </c>
      <c r="DO68" t="e">
        <f>AND(#REF!,"AAAAADv//3Y=")</f>
        <v>#REF!</v>
      </c>
      <c r="DP68" t="e">
        <f>AND(#REF!,"AAAAADv//3c=")</f>
        <v>#REF!</v>
      </c>
      <c r="DQ68" t="e">
        <f>AND(#REF!,"AAAAADv//3g=")</f>
        <v>#REF!</v>
      </c>
      <c r="DR68" t="e">
        <f>AND(#REF!,"AAAAADv//3k=")</f>
        <v>#REF!</v>
      </c>
      <c r="DS68" t="e">
        <f>AND(#REF!,"AAAAADv//3o=")</f>
        <v>#REF!</v>
      </c>
      <c r="DT68" t="e">
        <f>AND(#REF!,"AAAAADv//3s=")</f>
        <v>#REF!</v>
      </c>
      <c r="DU68" t="e">
        <f>AND(#REF!,"AAAAADv//3w=")</f>
        <v>#REF!</v>
      </c>
      <c r="DV68" t="e">
        <f>AND(#REF!,"AAAAADv//30=")</f>
        <v>#REF!</v>
      </c>
      <c r="DW68" t="e">
        <f>AND(#REF!,"AAAAADv//34=")</f>
        <v>#REF!</v>
      </c>
      <c r="DX68" t="e">
        <f>IF(#REF!,"AAAAADv//38=",0)</f>
        <v>#REF!</v>
      </c>
      <c r="DY68" t="e">
        <f>AND(#REF!,"AAAAADv//4A=")</f>
        <v>#REF!</v>
      </c>
      <c r="DZ68" t="e">
        <f>AND(#REF!,"AAAAADv//4E=")</f>
        <v>#REF!</v>
      </c>
      <c r="EA68" t="e">
        <f>AND(#REF!,"AAAAADv//4I=")</f>
        <v>#REF!</v>
      </c>
      <c r="EB68" t="e">
        <f>AND(#REF!,"AAAAADv//4M=")</f>
        <v>#REF!</v>
      </c>
      <c r="EC68" t="e">
        <f>AND(#REF!,"AAAAADv//4Q=")</f>
        <v>#REF!</v>
      </c>
      <c r="ED68" t="e">
        <f>AND(#REF!,"AAAAADv//4U=")</f>
        <v>#REF!</v>
      </c>
      <c r="EE68" t="e">
        <f>AND(#REF!,"AAAAADv//4Y=")</f>
        <v>#REF!</v>
      </c>
      <c r="EF68" t="e">
        <f>AND(#REF!,"AAAAADv//4c=")</f>
        <v>#REF!</v>
      </c>
      <c r="EG68" t="e">
        <f>AND(#REF!,"AAAAADv//4g=")</f>
        <v>#REF!</v>
      </c>
      <c r="EH68" t="e">
        <f>AND(#REF!,"AAAAADv//4k=")</f>
        <v>#REF!</v>
      </c>
      <c r="EI68" t="e">
        <f>AND(#REF!,"AAAAADv//4o=")</f>
        <v>#REF!</v>
      </c>
      <c r="EJ68" t="e">
        <f>AND(#REF!,"AAAAADv//4s=")</f>
        <v>#REF!</v>
      </c>
      <c r="EK68" t="e">
        <f>AND(#REF!,"AAAAADv//4w=")</f>
        <v>#REF!</v>
      </c>
      <c r="EL68" t="e">
        <f>AND(#REF!,"AAAAADv//40=")</f>
        <v>#REF!</v>
      </c>
      <c r="EM68" t="e">
        <f>AND(#REF!,"AAAAADv//44=")</f>
        <v>#REF!</v>
      </c>
      <c r="EN68" t="e">
        <f>AND(#REF!,"AAAAADv//48=")</f>
        <v>#REF!</v>
      </c>
      <c r="EO68" t="e">
        <f>IF(#REF!,"AAAAADv//5A=",0)</f>
        <v>#REF!</v>
      </c>
      <c r="EP68" t="e">
        <f>AND(#REF!,"AAAAADv//5E=")</f>
        <v>#REF!</v>
      </c>
      <c r="EQ68" t="e">
        <f>AND(#REF!,"AAAAADv//5I=")</f>
        <v>#REF!</v>
      </c>
      <c r="ER68" t="e">
        <f>AND(#REF!,"AAAAADv//5M=")</f>
        <v>#REF!</v>
      </c>
      <c r="ES68" t="e">
        <f>AND(#REF!,"AAAAADv//5Q=")</f>
        <v>#REF!</v>
      </c>
      <c r="ET68" t="e">
        <f>AND(#REF!,"AAAAADv//5U=")</f>
        <v>#REF!</v>
      </c>
      <c r="EU68" t="e">
        <f>AND(#REF!,"AAAAADv//5Y=")</f>
        <v>#REF!</v>
      </c>
      <c r="EV68" t="e">
        <f>AND(#REF!,"AAAAADv//5c=")</f>
        <v>#REF!</v>
      </c>
      <c r="EW68" t="e">
        <f>AND(#REF!,"AAAAADv//5g=")</f>
        <v>#REF!</v>
      </c>
      <c r="EX68" t="e">
        <f>AND(#REF!,"AAAAADv//5k=")</f>
        <v>#REF!</v>
      </c>
      <c r="EY68" t="e">
        <f>AND(#REF!,"AAAAADv//5o=")</f>
        <v>#REF!</v>
      </c>
      <c r="EZ68" t="e">
        <f>AND(#REF!,"AAAAADv//5s=")</f>
        <v>#REF!</v>
      </c>
      <c r="FA68" t="e">
        <f>AND(#REF!,"AAAAADv//5w=")</f>
        <v>#REF!</v>
      </c>
      <c r="FB68" t="e">
        <f>AND(#REF!,"AAAAADv//50=")</f>
        <v>#REF!</v>
      </c>
      <c r="FC68" t="e">
        <f>AND(#REF!,"AAAAADv//54=")</f>
        <v>#REF!</v>
      </c>
      <c r="FD68" t="e">
        <f>AND(#REF!,"AAAAADv//58=")</f>
        <v>#REF!</v>
      </c>
      <c r="FE68" t="e">
        <f>AND(#REF!,"AAAAADv//6A=")</f>
        <v>#REF!</v>
      </c>
      <c r="FF68" t="e">
        <f>IF(#REF!,"AAAAADv//6E=",0)</f>
        <v>#REF!</v>
      </c>
      <c r="FG68" t="e">
        <f>AND(#REF!,"AAAAADv//6I=")</f>
        <v>#REF!</v>
      </c>
      <c r="FH68" t="e">
        <f>AND(#REF!,"AAAAADv//6M=")</f>
        <v>#REF!</v>
      </c>
      <c r="FI68" t="e">
        <f>AND(#REF!,"AAAAADv//6Q=")</f>
        <v>#REF!</v>
      </c>
      <c r="FJ68" t="e">
        <f>AND(#REF!,"AAAAADv//6U=")</f>
        <v>#REF!</v>
      </c>
      <c r="FK68" t="e">
        <f>AND(#REF!,"AAAAADv//6Y=")</f>
        <v>#REF!</v>
      </c>
      <c r="FL68" t="e">
        <f>AND(#REF!,"AAAAADv//6c=")</f>
        <v>#REF!</v>
      </c>
      <c r="FM68" t="e">
        <f>AND(#REF!,"AAAAADv//6g=")</f>
        <v>#REF!</v>
      </c>
      <c r="FN68" t="e">
        <f>AND(#REF!,"AAAAADv//6k=")</f>
        <v>#REF!</v>
      </c>
      <c r="FO68" t="e">
        <f>AND(#REF!,"AAAAADv//6o=")</f>
        <v>#REF!</v>
      </c>
      <c r="FP68" t="e">
        <f>AND(#REF!,"AAAAADv//6s=")</f>
        <v>#REF!</v>
      </c>
      <c r="FQ68" t="e">
        <f>AND(#REF!,"AAAAADv//6w=")</f>
        <v>#REF!</v>
      </c>
      <c r="FR68" t="e">
        <f>AND(#REF!,"AAAAADv//60=")</f>
        <v>#REF!</v>
      </c>
      <c r="FS68" t="e">
        <f>AND(#REF!,"AAAAADv//64=")</f>
        <v>#REF!</v>
      </c>
      <c r="FT68" t="e">
        <f>AND(#REF!,"AAAAADv//68=")</f>
        <v>#REF!</v>
      </c>
      <c r="FU68" t="e">
        <f>AND(#REF!,"AAAAADv//7A=")</f>
        <v>#REF!</v>
      </c>
      <c r="FV68" t="e">
        <f>AND(#REF!,"AAAAADv//7E=")</f>
        <v>#REF!</v>
      </c>
      <c r="FW68" t="e">
        <f>IF(#REF!,"AAAAADv//7I=",0)</f>
        <v>#REF!</v>
      </c>
      <c r="FX68" t="e">
        <f>AND(#REF!,"AAAAADv//7M=")</f>
        <v>#REF!</v>
      </c>
      <c r="FY68" t="e">
        <f>AND(#REF!,"AAAAADv//7Q=")</f>
        <v>#REF!</v>
      </c>
      <c r="FZ68" t="e">
        <f>AND(#REF!,"AAAAADv//7U=")</f>
        <v>#REF!</v>
      </c>
      <c r="GA68" t="e">
        <f>AND(#REF!,"AAAAADv//7Y=")</f>
        <v>#REF!</v>
      </c>
      <c r="GB68" t="e">
        <f>AND(#REF!,"AAAAADv//7c=")</f>
        <v>#REF!</v>
      </c>
      <c r="GC68" t="e">
        <f>AND(#REF!,"AAAAADv//7g=")</f>
        <v>#REF!</v>
      </c>
      <c r="GD68" t="e">
        <f>AND(#REF!,"AAAAADv//7k=")</f>
        <v>#REF!</v>
      </c>
      <c r="GE68" t="e">
        <f>AND(#REF!,"AAAAADv//7o=")</f>
        <v>#REF!</v>
      </c>
      <c r="GF68" t="e">
        <f>AND(#REF!,"AAAAADv//7s=")</f>
        <v>#REF!</v>
      </c>
      <c r="GG68" t="e">
        <f>AND(#REF!,"AAAAADv//7w=")</f>
        <v>#REF!</v>
      </c>
      <c r="GH68" t="e">
        <f>AND(#REF!,"AAAAADv//70=")</f>
        <v>#REF!</v>
      </c>
      <c r="GI68" t="e">
        <f>AND(#REF!,"AAAAADv//74=")</f>
        <v>#REF!</v>
      </c>
      <c r="GJ68" t="e">
        <f>AND(#REF!,"AAAAADv//78=")</f>
        <v>#REF!</v>
      </c>
      <c r="GK68" t="e">
        <f>AND(#REF!,"AAAAADv//8A=")</f>
        <v>#REF!</v>
      </c>
      <c r="GL68" t="e">
        <f>AND(#REF!,"AAAAADv//8E=")</f>
        <v>#REF!</v>
      </c>
      <c r="GM68" t="e">
        <f>AND(#REF!,"AAAAADv//8I=")</f>
        <v>#REF!</v>
      </c>
      <c r="GN68" t="e">
        <f>IF(#REF!,"AAAAADv//8M=",0)</f>
        <v>#REF!</v>
      </c>
      <c r="GO68" t="e">
        <f>AND(#REF!,"AAAAADv//8Q=")</f>
        <v>#REF!</v>
      </c>
      <c r="GP68" t="e">
        <f>AND(#REF!,"AAAAADv//8U=")</f>
        <v>#REF!</v>
      </c>
      <c r="GQ68" t="e">
        <f>AND(#REF!,"AAAAADv//8Y=")</f>
        <v>#REF!</v>
      </c>
      <c r="GR68" t="e">
        <f>AND(#REF!,"AAAAADv//8c=")</f>
        <v>#REF!</v>
      </c>
      <c r="GS68" t="e">
        <f>AND(#REF!,"AAAAADv//8g=")</f>
        <v>#REF!</v>
      </c>
      <c r="GT68" t="e">
        <f>AND(#REF!,"AAAAADv//8k=")</f>
        <v>#REF!</v>
      </c>
      <c r="GU68" t="e">
        <f>AND(#REF!,"AAAAADv//8o=")</f>
        <v>#REF!</v>
      </c>
      <c r="GV68" t="e">
        <f>AND(#REF!,"AAAAADv//8s=")</f>
        <v>#REF!</v>
      </c>
      <c r="GW68" t="e">
        <f>AND(#REF!,"AAAAADv//8w=")</f>
        <v>#REF!</v>
      </c>
      <c r="GX68" t="e">
        <f>AND(#REF!,"AAAAADv//80=")</f>
        <v>#REF!</v>
      </c>
      <c r="GY68" t="e">
        <f>AND(#REF!,"AAAAADv//84=")</f>
        <v>#REF!</v>
      </c>
      <c r="GZ68" t="e">
        <f>AND(#REF!,"AAAAADv//88=")</f>
        <v>#REF!</v>
      </c>
      <c r="HA68" t="e">
        <f>AND(#REF!,"AAAAADv//9A=")</f>
        <v>#REF!</v>
      </c>
      <c r="HB68" t="e">
        <f>AND(#REF!,"AAAAADv//9E=")</f>
        <v>#REF!</v>
      </c>
      <c r="HC68" t="e">
        <f>AND(#REF!,"AAAAADv//9I=")</f>
        <v>#REF!</v>
      </c>
      <c r="HD68" t="e">
        <f>AND(#REF!,"AAAAADv//9M=")</f>
        <v>#REF!</v>
      </c>
      <c r="HE68" t="e">
        <f>IF(#REF!,"AAAAADv//9Q=",0)</f>
        <v>#REF!</v>
      </c>
      <c r="HF68" t="e">
        <f>AND(#REF!,"AAAAADv//9U=")</f>
        <v>#REF!</v>
      </c>
      <c r="HG68" t="e">
        <f>AND(#REF!,"AAAAADv//9Y=")</f>
        <v>#REF!</v>
      </c>
      <c r="HH68" t="e">
        <f>AND(#REF!,"AAAAADv//9c=")</f>
        <v>#REF!</v>
      </c>
      <c r="HI68" t="e">
        <f>AND(#REF!,"AAAAADv//9g=")</f>
        <v>#REF!</v>
      </c>
      <c r="HJ68" t="e">
        <f>AND(#REF!,"AAAAADv//9k=")</f>
        <v>#REF!</v>
      </c>
      <c r="HK68" t="e">
        <f>AND(#REF!,"AAAAADv//9o=")</f>
        <v>#REF!</v>
      </c>
      <c r="HL68" t="e">
        <f>AND(#REF!,"AAAAADv//9s=")</f>
        <v>#REF!</v>
      </c>
      <c r="HM68" t="e">
        <f>AND(#REF!,"AAAAADv//9w=")</f>
        <v>#REF!</v>
      </c>
      <c r="HN68" t="e">
        <f>AND(#REF!,"AAAAADv//90=")</f>
        <v>#REF!</v>
      </c>
      <c r="HO68" t="e">
        <f>AND(#REF!,"AAAAADv//94=")</f>
        <v>#REF!</v>
      </c>
      <c r="HP68" t="e">
        <f>AND(#REF!,"AAAAADv//98=")</f>
        <v>#REF!</v>
      </c>
      <c r="HQ68" t="e">
        <f>AND(#REF!,"AAAAADv//+A=")</f>
        <v>#REF!</v>
      </c>
      <c r="HR68" t="e">
        <f>AND(#REF!,"AAAAADv//+E=")</f>
        <v>#REF!</v>
      </c>
      <c r="HS68" t="e">
        <f>AND(#REF!,"AAAAADv//+I=")</f>
        <v>#REF!</v>
      </c>
      <c r="HT68" t="e">
        <f>AND(#REF!,"AAAAADv//+M=")</f>
        <v>#REF!</v>
      </c>
      <c r="HU68" t="e">
        <f>AND(#REF!,"AAAAADv//+Q=")</f>
        <v>#REF!</v>
      </c>
      <c r="HV68" t="e">
        <f>IF(#REF!,"AAAAADv//+U=",0)</f>
        <v>#REF!</v>
      </c>
      <c r="HW68" t="e">
        <f>AND(#REF!,"AAAAADv//+Y=")</f>
        <v>#REF!</v>
      </c>
      <c r="HX68" t="e">
        <f>AND(#REF!,"AAAAADv//+c=")</f>
        <v>#REF!</v>
      </c>
      <c r="HY68" t="e">
        <f>AND(#REF!,"AAAAADv//+g=")</f>
        <v>#REF!</v>
      </c>
      <c r="HZ68" t="e">
        <f>AND(#REF!,"AAAAADv//+k=")</f>
        <v>#REF!</v>
      </c>
      <c r="IA68" t="e">
        <f>AND(#REF!,"AAAAADv//+o=")</f>
        <v>#REF!</v>
      </c>
      <c r="IB68" t="e">
        <f>AND(#REF!,"AAAAADv//+s=")</f>
        <v>#REF!</v>
      </c>
      <c r="IC68" t="e">
        <f>AND(#REF!,"AAAAADv//+w=")</f>
        <v>#REF!</v>
      </c>
      <c r="ID68" t="e">
        <f>AND(#REF!,"AAAAADv//+0=")</f>
        <v>#REF!</v>
      </c>
      <c r="IE68" t="e">
        <f>AND(#REF!,"AAAAADv//+4=")</f>
        <v>#REF!</v>
      </c>
      <c r="IF68" t="e">
        <f>AND(#REF!,"AAAAADv//+8=")</f>
        <v>#REF!</v>
      </c>
      <c r="IG68" t="e">
        <f>AND(#REF!,"AAAAADv///A=")</f>
        <v>#REF!</v>
      </c>
      <c r="IH68" t="e">
        <f>AND(#REF!,"AAAAADv///E=")</f>
        <v>#REF!</v>
      </c>
      <c r="II68" t="e">
        <f>AND(#REF!,"AAAAADv///I=")</f>
        <v>#REF!</v>
      </c>
      <c r="IJ68" t="e">
        <f>AND(#REF!,"AAAAADv///M=")</f>
        <v>#REF!</v>
      </c>
      <c r="IK68" t="e">
        <f>AND(#REF!,"AAAAADv///Q=")</f>
        <v>#REF!</v>
      </c>
      <c r="IL68" t="e">
        <f>AND(#REF!,"AAAAADv///U=")</f>
        <v>#REF!</v>
      </c>
      <c r="IM68" t="e">
        <f>IF(#REF!,"AAAAADv///Y=",0)</f>
        <v>#REF!</v>
      </c>
      <c r="IN68" t="e">
        <f>AND(#REF!,"AAAAADv///c=")</f>
        <v>#REF!</v>
      </c>
      <c r="IO68" t="e">
        <f>AND(#REF!,"AAAAADv///g=")</f>
        <v>#REF!</v>
      </c>
      <c r="IP68" t="e">
        <f>AND(#REF!,"AAAAADv///k=")</f>
        <v>#REF!</v>
      </c>
      <c r="IQ68" t="e">
        <f>AND(#REF!,"AAAAADv///o=")</f>
        <v>#REF!</v>
      </c>
      <c r="IR68" t="e">
        <f>AND(#REF!,"AAAAADv///s=")</f>
        <v>#REF!</v>
      </c>
      <c r="IS68" t="e">
        <f>AND(#REF!,"AAAAADv///w=")</f>
        <v>#REF!</v>
      </c>
      <c r="IT68" t="e">
        <f>AND(#REF!,"AAAAADv///0=")</f>
        <v>#REF!</v>
      </c>
      <c r="IU68" t="e">
        <f>AND(#REF!,"AAAAADv///4=")</f>
        <v>#REF!</v>
      </c>
      <c r="IV68" t="e">
        <f>AND(#REF!,"AAAAADv///8=")</f>
        <v>#REF!</v>
      </c>
    </row>
    <row r="69" spans="1:256" x14ac:dyDescent="0.25">
      <c r="A69" t="e">
        <f>AND(#REF!,"AAAAAE3lVwA=")</f>
        <v>#REF!</v>
      </c>
      <c r="B69" t="e">
        <f>AND(#REF!,"AAAAAE3lVwE=")</f>
        <v>#REF!</v>
      </c>
      <c r="C69" t="e">
        <f>AND(#REF!,"AAAAAE3lVwI=")</f>
        <v>#REF!</v>
      </c>
      <c r="D69" t="e">
        <f>AND(#REF!,"AAAAAE3lVwM=")</f>
        <v>#REF!</v>
      </c>
      <c r="E69" t="e">
        <f>AND(#REF!,"AAAAAE3lVwQ=")</f>
        <v>#REF!</v>
      </c>
      <c r="F69" t="e">
        <f>AND(#REF!,"AAAAAE3lVwU=")</f>
        <v>#REF!</v>
      </c>
      <c r="G69" t="e">
        <f>AND(#REF!,"AAAAAE3lVwY=")</f>
        <v>#REF!</v>
      </c>
      <c r="H69" t="e">
        <f>IF(#REF!,"AAAAAE3lVwc=",0)</f>
        <v>#REF!</v>
      </c>
      <c r="I69" t="e">
        <f>AND(#REF!,"AAAAAE3lVwg=")</f>
        <v>#REF!</v>
      </c>
      <c r="J69" t="e">
        <f>AND(#REF!,"AAAAAE3lVwk=")</f>
        <v>#REF!</v>
      </c>
      <c r="K69" t="e">
        <f>AND(#REF!,"AAAAAE3lVwo=")</f>
        <v>#REF!</v>
      </c>
      <c r="L69" t="e">
        <f>AND(#REF!,"AAAAAE3lVws=")</f>
        <v>#REF!</v>
      </c>
      <c r="M69" t="e">
        <f>AND(#REF!,"AAAAAE3lVww=")</f>
        <v>#REF!</v>
      </c>
      <c r="N69" t="e">
        <f>AND(#REF!,"AAAAAE3lVw0=")</f>
        <v>#REF!</v>
      </c>
      <c r="O69" t="e">
        <f>AND(#REF!,"AAAAAE3lVw4=")</f>
        <v>#REF!</v>
      </c>
      <c r="P69" t="e">
        <f>AND(#REF!,"AAAAAE3lVw8=")</f>
        <v>#REF!</v>
      </c>
      <c r="Q69" t="e">
        <f>AND(#REF!,"AAAAAE3lVxA=")</f>
        <v>#REF!</v>
      </c>
      <c r="R69" t="e">
        <f>AND(#REF!,"AAAAAE3lVxE=")</f>
        <v>#REF!</v>
      </c>
      <c r="S69" t="e">
        <f>AND(#REF!,"AAAAAE3lVxI=")</f>
        <v>#REF!</v>
      </c>
      <c r="T69" t="e">
        <f>AND(#REF!,"AAAAAE3lVxM=")</f>
        <v>#REF!</v>
      </c>
      <c r="U69" t="e">
        <f>AND(#REF!,"AAAAAE3lVxQ=")</f>
        <v>#REF!</v>
      </c>
      <c r="V69" t="e">
        <f>AND(#REF!,"AAAAAE3lVxU=")</f>
        <v>#REF!</v>
      </c>
      <c r="W69" t="e">
        <f>AND(#REF!,"AAAAAE3lVxY=")</f>
        <v>#REF!</v>
      </c>
      <c r="X69" t="e">
        <f>AND(#REF!,"AAAAAE3lVxc=")</f>
        <v>#REF!</v>
      </c>
      <c r="Y69" t="e">
        <f>IF(#REF!,"AAAAAE3lVxg=",0)</f>
        <v>#REF!</v>
      </c>
      <c r="Z69" t="e">
        <f>AND(#REF!,"AAAAAE3lVxk=")</f>
        <v>#REF!</v>
      </c>
      <c r="AA69" t="e">
        <f>AND(#REF!,"AAAAAE3lVxo=")</f>
        <v>#REF!</v>
      </c>
      <c r="AB69" t="e">
        <f>AND(#REF!,"AAAAAE3lVxs=")</f>
        <v>#REF!</v>
      </c>
      <c r="AC69" t="e">
        <f>AND(#REF!,"AAAAAE3lVxw=")</f>
        <v>#REF!</v>
      </c>
      <c r="AD69" t="e">
        <f>AND(#REF!,"AAAAAE3lVx0=")</f>
        <v>#REF!</v>
      </c>
      <c r="AE69" t="e">
        <f>AND(#REF!,"AAAAAE3lVx4=")</f>
        <v>#REF!</v>
      </c>
      <c r="AF69" t="e">
        <f>AND(#REF!,"AAAAAE3lVx8=")</f>
        <v>#REF!</v>
      </c>
      <c r="AG69" t="e">
        <f>AND(#REF!,"AAAAAE3lVyA=")</f>
        <v>#REF!</v>
      </c>
      <c r="AH69" t="e">
        <f>AND(#REF!,"AAAAAE3lVyE=")</f>
        <v>#REF!</v>
      </c>
      <c r="AI69" t="e">
        <f>AND(#REF!,"AAAAAE3lVyI=")</f>
        <v>#REF!</v>
      </c>
      <c r="AJ69" t="e">
        <f>AND(#REF!,"AAAAAE3lVyM=")</f>
        <v>#REF!</v>
      </c>
      <c r="AK69" t="e">
        <f>AND(#REF!,"AAAAAE3lVyQ=")</f>
        <v>#REF!</v>
      </c>
      <c r="AL69" t="e">
        <f>AND(#REF!,"AAAAAE3lVyU=")</f>
        <v>#REF!</v>
      </c>
      <c r="AM69" t="e">
        <f>AND(#REF!,"AAAAAE3lVyY=")</f>
        <v>#REF!</v>
      </c>
      <c r="AN69" t="e">
        <f>AND(#REF!,"AAAAAE3lVyc=")</f>
        <v>#REF!</v>
      </c>
      <c r="AO69" t="e">
        <f>AND(#REF!,"AAAAAE3lVyg=")</f>
        <v>#REF!</v>
      </c>
      <c r="AP69" t="e">
        <f>IF(#REF!,"AAAAAE3lVyk=",0)</f>
        <v>#REF!</v>
      </c>
      <c r="AQ69" t="e">
        <f>AND(#REF!,"AAAAAE3lVyo=")</f>
        <v>#REF!</v>
      </c>
      <c r="AR69" t="e">
        <f>AND(#REF!,"AAAAAE3lVys=")</f>
        <v>#REF!</v>
      </c>
      <c r="AS69" t="e">
        <f>AND(#REF!,"AAAAAE3lVyw=")</f>
        <v>#REF!</v>
      </c>
      <c r="AT69" t="e">
        <f>AND(#REF!,"AAAAAE3lVy0=")</f>
        <v>#REF!</v>
      </c>
      <c r="AU69" t="e">
        <f>AND(#REF!,"AAAAAE3lVy4=")</f>
        <v>#REF!</v>
      </c>
      <c r="AV69" t="e">
        <f>AND(#REF!,"AAAAAE3lVy8=")</f>
        <v>#REF!</v>
      </c>
      <c r="AW69" t="e">
        <f>AND(#REF!,"AAAAAE3lVzA=")</f>
        <v>#REF!</v>
      </c>
      <c r="AX69" t="e">
        <f>AND(#REF!,"AAAAAE3lVzE=")</f>
        <v>#REF!</v>
      </c>
      <c r="AY69" t="e">
        <f>AND(#REF!,"AAAAAE3lVzI=")</f>
        <v>#REF!</v>
      </c>
      <c r="AZ69" t="e">
        <f>AND(#REF!,"AAAAAE3lVzM=")</f>
        <v>#REF!</v>
      </c>
      <c r="BA69" t="e">
        <f>AND(#REF!,"AAAAAE3lVzQ=")</f>
        <v>#REF!</v>
      </c>
      <c r="BB69" t="e">
        <f>AND(#REF!,"AAAAAE3lVzU=")</f>
        <v>#REF!</v>
      </c>
      <c r="BC69" t="e">
        <f>AND(#REF!,"AAAAAE3lVzY=")</f>
        <v>#REF!</v>
      </c>
      <c r="BD69" t="e">
        <f>AND(#REF!,"AAAAAE3lVzc=")</f>
        <v>#REF!</v>
      </c>
      <c r="BE69" t="e">
        <f>AND(#REF!,"AAAAAE3lVzg=")</f>
        <v>#REF!</v>
      </c>
      <c r="BF69" t="e">
        <f>AND(#REF!,"AAAAAE3lVzk=")</f>
        <v>#REF!</v>
      </c>
      <c r="BG69" t="e">
        <f>IF(#REF!,"AAAAAE3lVzo=",0)</f>
        <v>#REF!</v>
      </c>
      <c r="BH69" t="e">
        <f>AND(#REF!,"AAAAAE3lVzs=")</f>
        <v>#REF!</v>
      </c>
      <c r="BI69" t="e">
        <f>AND(#REF!,"AAAAAE3lVzw=")</f>
        <v>#REF!</v>
      </c>
      <c r="BJ69" t="e">
        <f>AND(#REF!,"AAAAAE3lVz0=")</f>
        <v>#REF!</v>
      </c>
      <c r="BK69" t="e">
        <f>AND(#REF!,"AAAAAE3lVz4=")</f>
        <v>#REF!</v>
      </c>
      <c r="BL69" t="e">
        <f>AND(#REF!,"AAAAAE3lVz8=")</f>
        <v>#REF!</v>
      </c>
      <c r="BM69" t="e">
        <f>AND(#REF!,"AAAAAE3lV0A=")</f>
        <v>#REF!</v>
      </c>
      <c r="BN69" t="e">
        <f>AND(#REF!,"AAAAAE3lV0E=")</f>
        <v>#REF!</v>
      </c>
      <c r="BO69" t="e">
        <f>AND(#REF!,"AAAAAE3lV0I=")</f>
        <v>#REF!</v>
      </c>
      <c r="BP69" t="e">
        <f>AND(#REF!,"AAAAAE3lV0M=")</f>
        <v>#REF!</v>
      </c>
      <c r="BQ69" t="e">
        <f>AND(#REF!,"AAAAAE3lV0Q=")</f>
        <v>#REF!</v>
      </c>
      <c r="BR69" t="e">
        <f>AND(#REF!,"AAAAAE3lV0U=")</f>
        <v>#REF!</v>
      </c>
      <c r="BS69" t="e">
        <f>AND(#REF!,"AAAAAE3lV0Y=")</f>
        <v>#REF!</v>
      </c>
      <c r="BT69" t="e">
        <f>AND(#REF!,"AAAAAE3lV0c=")</f>
        <v>#REF!</v>
      </c>
      <c r="BU69" t="e">
        <f>AND(#REF!,"AAAAAE3lV0g=")</f>
        <v>#REF!</v>
      </c>
      <c r="BV69" t="e">
        <f>AND(#REF!,"AAAAAE3lV0k=")</f>
        <v>#REF!</v>
      </c>
      <c r="BW69" t="e">
        <f>AND(#REF!,"AAAAAE3lV0o=")</f>
        <v>#REF!</v>
      </c>
      <c r="BX69" t="e">
        <f>IF(#REF!,"AAAAAE3lV0s=",0)</f>
        <v>#REF!</v>
      </c>
      <c r="BY69" t="e">
        <f>AND(#REF!,"AAAAAE3lV0w=")</f>
        <v>#REF!</v>
      </c>
      <c r="BZ69" t="e">
        <f>AND(#REF!,"AAAAAE3lV00=")</f>
        <v>#REF!</v>
      </c>
      <c r="CA69" t="e">
        <f>AND(#REF!,"AAAAAE3lV04=")</f>
        <v>#REF!</v>
      </c>
      <c r="CB69" t="e">
        <f>AND(#REF!,"AAAAAE3lV08=")</f>
        <v>#REF!</v>
      </c>
      <c r="CC69" t="e">
        <f>AND(#REF!,"AAAAAE3lV1A=")</f>
        <v>#REF!</v>
      </c>
      <c r="CD69" t="e">
        <f>AND(#REF!,"AAAAAE3lV1E=")</f>
        <v>#REF!</v>
      </c>
      <c r="CE69" t="e">
        <f>AND(#REF!,"AAAAAE3lV1I=")</f>
        <v>#REF!</v>
      </c>
      <c r="CF69" t="e">
        <f>AND(#REF!,"AAAAAE3lV1M=")</f>
        <v>#REF!</v>
      </c>
      <c r="CG69" t="e">
        <f>AND(#REF!,"AAAAAE3lV1Q=")</f>
        <v>#REF!</v>
      </c>
      <c r="CH69" t="e">
        <f>AND(#REF!,"AAAAAE3lV1U=")</f>
        <v>#REF!</v>
      </c>
      <c r="CI69" t="e">
        <f>AND(#REF!,"AAAAAE3lV1Y=")</f>
        <v>#REF!</v>
      </c>
      <c r="CJ69" t="e">
        <f>AND(#REF!,"AAAAAE3lV1c=")</f>
        <v>#REF!</v>
      </c>
      <c r="CK69" t="e">
        <f>AND(#REF!,"AAAAAE3lV1g=")</f>
        <v>#REF!</v>
      </c>
      <c r="CL69" t="e">
        <f>AND(#REF!,"AAAAAE3lV1k=")</f>
        <v>#REF!</v>
      </c>
      <c r="CM69" t="e">
        <f>AND(#REF!,"AAAAAE3lV1o=")</f>
        <v>#REF!</v>
      </c>
      <c r="CN69" t="e">
        <f>AND(#REF!,"AAAAAE3lV1s=")</f>
        <v>#REF!</v>
      </c>
      <c r="CO69" t="e">
        <f>IF(#REF!,"AAAAAE3lV1w=",0)</f>
        <v>#REF!</v>
      </c>
      <c r="CP69" t="e">
        <f>AND(#REF!,"AAAAAE3lV10=")</f>
        <v>#REF!</v>
      </c>
      <c r="CQ69" t="e">
        <f>AND(#REF!,"AAAAAE3lV14=")</f>
        <v>#REF!</v>
      </c>
      <c r="CR69" t="e">
        <f>AND(#REF!,"AAAAAE3lV18=")</f>
        <v>#REF!</v>
      </c>
      <c r="CS69" t="e">
        <f>AND(#REF!,"AAAAAE3lV2A=")</f>
        <v>#REF!</v>
      </c>
      <c r="CT69" t="e">
        <f>AND(#REF!,"AAAAAE3lV2E=")</f>
        <v>#REF!</v>
      </c>
      <c r="CU69" t="e">
        <f>AND(#REF!,"AAAAAE3lV2I=")</f>
        <v>#REF!</v>
      </c>
      <c r="CV69" t="e">
        <f>AND(#REF!,"AAAAAE3lV2M=")</f>
        <v>#REF!</v>
      </c>
      <c r="CW69" t="e">
        <f>AND(#REF!,"AAAAAE3lV2Q=")</f>
        <v>#REF!</v>
      </c>
      <c r="CX69" t="e">
        <f>AND(#REF!,"AAAAAE3lV2U=")</f>
        <v>#REF!</v>
      </c>
      <c r="CY69" t="e">
        <f>AND(#REF!,"AAAAAE3lV2Y=")</f>
        <v>#REF!</v>
      </c>
      <c r="CZ69" t="e">
        <f>AND(#REF!,"AAAAAE3lV2c=")</f>
        <v>#REF!</v>
      </c>
      <c r="DA69" t="e">
        <f>AND(#REF!,"AAAAAE3lV2g=")</f>
        <v>#REF!</v>
      </c>
      <c r="DB69" t="e">
        <f>AND(#REF!,"AAAAAE3lV2k=")</f>
        <v>#REF!</v>
      </c>
      <c r="DC69" t="e">
        <f>AND(#REF!,"AAAAAE3lV2o=")</f>
        <v>#REF!</v>
      </c>
      <c r="DD69" t="e">
        <f>AND(#REF!,"AAAAAE3lV2s=")</f>
        <v>#REF!</v>
      </c>
      <c r="DE69" t="e">
        <f>AND(#REF!,"AAAAAE3lV2w=")</f>
        <v>#REF!</v>
      </c>
      <c r="DF69" t="e">
        <f>IF(#REF!,"AAAAAE3lV20=",0)</f>
        <v>#REF!</v>
      </c>
      <c r="DG69" t="e">
        <f>AND(#REF!,"AAAAAE3lV24=")</f>
        <v>#REF!</v>
      </c>
      <c r="DH69" t="e">
        <f>AND(#REF!,"AAAAAE3lV28=")</f>
        <v>#REF!</v>
      </c>
      <c r="DI69" t="e">
        <f>AND(#REF!,"AAAAAE3lV3A=")</f>
        <v>#REF!</v>
      </c>
      <c r="DJ69" t="e">
        <f>AND(#REF!,"AAAAAE3lV3E=")</f>
        <v>#REF!</v>
      </c>
      <c r="DK69" t="e">
        <f>AND(#REF!,"AAAAAE3lV3I=")</f>
        <v>#REF!</v>
      </c>
      <c r="DL69" t="e">
        <f>AND(#REF!,"AAAAAE3lV3M=")</f>
        <v>#REF!</v>
      </c>
      <c r="DM69" t="e">
        <f>AND(#REF!,"AAAAAE3lV3Q=")</f>
        <v>#REF!</v>
      </c>
      <c r="DN69" t="e">
        <f>AND(#REF!,"AAAAAE3lV3U=")</f>
        <v>#REF!</v>
      </c>
      <c r="DO69" t="e">
        <f>AND(#REF!,"AAAAAE3lV3Y=")</f>
        <v>#REF!</v>
      </c>
      <c r="DP69" t="e">
        <f>AND(#REF!,"AAAAAE3lV3c=")</f>
        <v>#REF!</v>
      </c>
      <c r="DQ69" t="e">
        <f>AND(#REF!,"AAAAAE3lV3g=")</f>
        <v>#REF!</v>
      </c>
      <c r="DR69" t="e">
        <f>AND(#REF!,"AAAAAE3lV3k=")</f>
        <v>#REF!</v>
      </c>
      <c r="DS69" t="e">
        <f>AND(#REF!,"AAAAAE3lV3o=")</f>
        <v>#REF!</v>
      </c>
      <c r="DT69" t="e">
        <f>AND(#REF!,"AAAAAE3lV3s=")</f>
        <v>#REF!</v>
      </c>
      <c r="DU69" t="e">
        <f>AND(#REF!,"AAAAAE3lV3w=")</f>
        <v>#REF!</v>
      </c>
      <c r="DV69" t="e">
        <f>AND(#REF!,"AAAAAE3lV30=")</f>
        <v>#REF!</v>
      </c>
      <c r="DW69" t="e">
        <f>IF(#REF!,"AAAAAE3lV34=",0)</f>
        <v>#REF!</v>
      </c>
      <c r="DX69" t="e">
        <f>IF(#REF!,"AAAAAE3lV38=",0)</f>
        <v>#REF!</v>
      </c>
      <c r="DY69" t="e">
        <f>IF(#REF!,"AAAAAE3lV4A=",0)</f>
        <v>#REF!</v>
      </c>
      <c r="DZ69" t="e">
        <f>IF(#REF!,"AAAAAE3lV4E=",0)</f>
        <v>#REF!</v>
      </c>
      <c r="EA69" t="e">
        <f>IF(#REF!,"AAAAAE3lV4I=",0)</f>
        <v>#REF!</v>
      </c>
      <c r="EB69" t="e">
        <f>IF(#REF!,"AAAAAE3lV4M=",0)</f>
        <v>#REF!</v>
      </c>
      <c r="EC69" t="e">
        <f>IF(#REF!,"AAAAAE3lV4Q=",0)</f>
        <v>#REF!</v>
      </c>
      <c r="ED69" t="e">
        <f>IF(#REF!,"AAAAAE3lV4U=",0)</f>
        <v>#REF!</v>
      </c>
      <c r="EE69" t="e">
        <f>IF(#REF!,"AAAAAE3lV4Y=",0)</f>
        <v>#REF!</v>
      </c>
      <c r="EF69" t="e">
        <f>IF(#REF!,"AAAAAE3lV4c=",0)</f>
        <v>#REF!</v>
      </c>
      <c r="EG69" t="e">
        <f>IF(#REF!,"AAAAAE3lV4g=",0)</f>
        <v>#REF!</v>
      </c>
      <c r="EH69" t="e">
        <f>IF(#REF!,"AAAAAE3lV4k=",0)</f>
        <v>#REF!</v>
      </c>
      <c r="EI69" t="e">
        <f>IF(#REF!,"AAAAAE3lV4o=",0)</f>
        <v>#REF!</v>
      </c>
      <c r="EJ69" t="e">
        <f>IF(#REF!,"AAAAAE3lV4s=",0)</f>
        <v>#REF!</v>
      </c>
      <c r="EK69" t="e">
        <f>IF(#REF!,"AAAAAE3lV4w=",0)</f>
        <v>#REF!</v>
      </c>
      <c r="EL69" t="e">
        <f>IF(#REF!,"AAAAAE3lV40=",0)</f>
        <v>#REF!</v>
      </c>
      <c r="EM69" t="e">
        <f>IF(#REF!,"AAAAAE3lV44=",0)</f>
        <v>#REF!</v>
      </c>
      <c r="EN69" t="e">
        <f>AND(#REF!,"AAAAAE3lV48=")</f>
        <v>#REF!</v>
      </c>
      <c r="EO69" t="e">
        <f>AND(#REF!,"AAAAAE3lV5A=")</f>
        <v>#REF!</v>
      </c>
      <c r="EP69" t="e">
        <f>AND(#REF!,"AAAAAE3lV5E=")</f>
        <v>#REF!</v>
      </c>
      <c r="EQ69" t="e">
        <f>AND(#REF!,"AAAAAE3lV5I=")</f>
        <v>#REF!</v>
      </c>
      <c r="ER69" t="e">
        <f>AND(#REF!,"AAAAAE3lV5M=")</f>
        <v>#REF!</v>
      </c>
      <c r="ES69" t="e">
        <f>AND(#REF!,"AAAAAE3lV5Q=")</f>
        <v>#REF!</v>
      </c>
      <c r="ET69" t="e">
        <f>AND(#REF!,"AAAAAE3lV5U=")</f>
        <v>#REF!</v>
      </c>
      <c r="EU69" t="e">
        <f>AND(#REF!,"AAAAAE3lV5Y=")</f>
        <v>#REF!</v>
      </c>
      <c r="EV69" t="e">
        <f>AND(#REF!,"AAAAAE3lV5c=")</f>
        <v>#REF!</v>
      </c>
      <c r="EW69" t="e">
        <f>AND(#REF!,"AAAAAE3lV5g=")</f>
        <v>#REF!</v>
      </c>
      <c r="EX69" t="e">
        <f>AND(#REF!,"AAAAAE3lV5k=")</f>
        <v>#REF!</v>
      </c>
      <c r="EY69" t="e">
        <f>AND(#REF!,"AAAAAE3lV5o=")</f>
        <v>#REF!</v>
      </c>
      <c r="EZ69" t="e">
        <f>AND(#REF!,"AAAAAE3lV5s=")</f>
        <v>#REF!</v>
      </c>
      <c r="FA69" t="e">
        <f>AND(#REF!,"AAAAAE3lV5w=")</f>
        <v>#REF!</v>
      </c>
      <c r="FB69" t="e">
        <f>AND(#REF!,"AAAAAE3lV50=")</f>
        <v>#REF!</v>
      </c>
      <c r="FC69" t="e">
        <f>AND(#REF!,"AAAAAE3lV54=")</f>
        <v>#REF!</v>
      </c>
      <c r="FD69" t="e">
        <f>AND(#REF!,"AAAAAE3lV58=")</f>
        <v>#REF!</v>
      </c>
      <c r="FE69" t="e">
        <f>AND(#REF!,"AAAAAE3lV6A=")</f>
        <v>#REF!</v>
      </c>
      <c r="FF69" t="e">
        <f>AND(#REF!,"AAAAAE3lV6E=")</f>
        <v>#REF!</v>
      </c>
      <c r="FG69" t="e">
        <f>AND(#REF!,"AAAAAE3lV6I=")</f>
        <v>#REF!</v>
      </c>
      <c r="FH69" t="e">
        <f>AND(#REF!,"AAAAAE3lV6M=")</f>
        <v>#REF!</v>
      </c>
      <c r="FI69" t="e">
        <f>AND(#REF!,"AAAAAE3lV6Q=")</f>
        <v>#REF!</v>
      </c>
      <c r="FJ69" t="e">
        <f>AND(#REF!,"AAAAAE3lV6U=")</f>
        <v>#REF!</v>
      </c>
      <c r="FK69" t="e">
        <f>AND(#REF!,"AAAAAE3lV6Y=")</f>
        <v>#REF!</v>
      </c>
      <c r="FL69" t="e">
        <f>AND(#REF!,"AAAAAE3lV6c=")</f>
        <v>#REF!</v>
      </c>
      <c r="FM69" t="e">
        <f>AND(#REF!,"AAAAAE3lV6g=")</f>
        <v>#REF!</v>
      </c>
      <c r="FN69" t="e">
        <f>AND(#REF!,"AAAAAE3lV6k=")</f>
        <v>#REF!</v>
      </c>
      <c r="FO69" t="e">
        <f>AND(#REF!,"AAAAAE3lV6o=")</f>
        <v>#REF!</v>
      </c>
      <c r="FP69" t="e">
        <f>AND(#REF!,"AAAAAE3lV6s=")</f>
        <v>#REF!</v>
      </c>
      <c r="FQ69" t="e">
        <f>AND(#REF!,"AAAAAE3lV6w=")</f>
        <v>#REF!</v>
      </c>
      <c r="FR69" t="e">
        <f>AND(#REF!,"AAAAAE3lV60=")</f>
        <v>#REF!</v>
      </c>
      <c r="FS69" t="e">
        <f>AND(#REF!,"AAAAAE3lV64=")</f>
        <v>#REF!</v>
      </c>
      <c r="FT69" t="e">
        <f>IF(#REF!,"AAAAAE3lV68=",0)</f>
        <v>#REF!</v>
      </c>
      <c r="FU69" t="e">
        <f>AND(#REF!,"AAAAAE3lV7A=")</f>
        <v>#REF!</v>
      </c>
      <c r="FV69" t="e">
        <f>AND(#REF!,"AAAAAE3lV7E=")</f>
        <v>#REF!</v>
      </c>
      <c r="FW69" t="e">
        <f>AND(#REF!,"AAAAAE3lV7I=")</f>
        <v>#REF!</v>
      </c>
      <c r="FX69" t="e">
        <f>AND(#REF!,"AAAAAE3lV7M=")</f>
        <v>#REF!</v>
      </c>
      <c r="FY69" t="e">
        <f>AND(#REF!,"AAAAAE3lV7Q=")</f>
        <v>#REF!</v>
      </c>
      <c r="FZ69" t="e">
        <f>AND(#REF!,"AAAAAE3lV7U=")</f>
        <v>#REF!</v>
      </c>
      <c r="GA69" t="e">
        <f>AND(#REF!,"AAAAAE3lV7Y=")</f>
        <v>#REF!</v>
      </c>
      <c r="GB69" t="e">
        <f>AND(#REF!,"AAAAAE3lV7c=")</f>
        <v>#REF!</v>
      </c>
      <c r="GC69" t="e">
        <f>AND(#REF!,"AAAAAE3lV7g=")</f>
        <v>#REF!</v>
      </c>
      <c r="GD69" t="e">
        <f>AND(#REF!,"AAAAAE3lV7k=")</f>
        <v>#REF!</v>
      </c>
      <c r="GE69" t="e">
        <f>AND(#REF!,"AAAAAE3lV7o=")</f>
        <v>#REF!</v>
      </c>
      <c r="GF69" t="e">
        <f>AND(#REF!,"AAAAAE3lV7s=")</f>
        <v>#REF!</v>
      </c>
      <c r="GG69" t="e">
        <f>AND(#REF!,"AAAAAE3lV7w=")</f>
        <v>#REF!</v>
      </c>
      <c r="GH69" t="e">
        <f>AND(#REF!,"AAAAAE3lV70=")</f>
        <v>#REF!</v>
      </c>
      <c r="GI69" t="e">
        <f>AND(#REF!,"AAAAAE3lV74=")</f>
        <v>#REF!</v>
      </c>
      <c r="GJ69" t="e">
        <f>AND(#REF!,"AAAAAE3lV78=")</f>
        <v>#REF!</v>
      </c>
      <c r="GK69" t="e">
        <f>AND(#REF!,"AAAAAE3lV8A=")</f>
        <v>#REF!</v>
      </c>
      <c r="GL69" t="e">
        <f>AND(#REF!,"AAAAAE3lV8E=")</f>
        <v>#REF!</v>
      </c>
      <c r="GM69" t="e">
        <f>AND(#REF!,"AAAAAE3lV8I=")</f>
        <v>#REF!</v>
      </c>
      <c r="GN69" t="e">
        <f>AND(#REF!,"AAAAAE3lV8M=")</f>
        <v>#REF!</v>
      </c>
      <c r="GO69" t="e">
        <f>AND(#REF!,"AAAAAE3lV8Q=")</f>
        <v>#REF!</v>
      </c>
      <c r="GP69" t="e">
        <f>AND(#REF!,"AAAAAE3lV8U=")</f>
        <v>#REF!</v>
      </c>
      <c r="GQ69" t="e">
        <f>AND(#REF!,"AAAAAE3lV8Y=")</f>
        <v>#REF!</v>
      </c>
      <c r="GR69" t="e">
        <f>AND(#REF!,"AAAAAE3lV8c=")</f>
        <v>#REF!</v>
      </c>
      <c r="GS69" t="e">
        <f>AND(#REF!,"AAAAAE3lV8g=")</f>
        <v>#REF!</v>
      </c>
      <c r="GT69" t="e">
        <f>AND(#REF!,"AAAAAE3lV8k=")</f>
        <v>#REF!</v>
      </c>
      <c r="GU69" t="e">
        <f>AND(#REF!,"AAAAAE3lV8o=")</f>
        <v>#REF!</v>
      </c>
      <c r="GV69" t="e">
        <f>AND(#REF!,"AAAAAE3lV8s=")</f>
        <v>#REF!</v>
      </c>
      <c r="GW69" t="e">
        <f>AND(#REF!,"AAAAAE3lV8w=")</f>
        <v>#REF!</v>
      </c>
      <c r="GX69" t="e">
        <f>AND(#REF!,"AAAAAE3lV80=")</f>
        <v>#REF!</v>
      </c>
      <c r="GY69" t="e">
        <f>AND(#REF!,"AAAAAE3lV84=")</f>
        <v>#REF!</v>
      </c>
      <c r="GZ69" t="e">
        <f>AND(#REF!,"AAAAAE3lV88=")</f>
        <v>#REF!</v>
      </c>
      <c r="HA69" t="e">
        <f>IF(#REF!,"AAAAAE3lV9A=",0)</f>
        <v>#REF!</v>
      </c>
      <c r="HB69" t="e">
        <f>AND(#REF!,"AAAAAE3lV9E=")</f>
        <v>#REF!</v>
      </c>
      <c r="HC69" t="e">
        <f>AND(#REF!,"AAAAAE3lV9I=")</f>
        <v>#REF!</v>
      </c>
      <c r="HD69" t="e">
        <f>AND(#REF!,"AAAAAE3lV9M=")</f>
        <v>#REF!</v>
      </c>
      <c r="HE69" t="e">
        <f>AND(#REF!,"AAAAAE3lV9Q=")</f>
        <v>#REF!</v>
      </c>
      <c r="HF69" t="e">
        <f>AND(#REF!,"AAAAAE3lV9U=")</f>
        <v>#REF!</v>
      </c>
      <c r="HG69" t="e">
        <f>AND(#REF!,"AAAAAE3lV9Y=")</f>
        <v>#REF!</v>
      </c>
      <c r="HH69" t="e">
        <f>AND(#REF!,"AAAAAE3lV9c=")</f>
        <v>#REF!</v>
      </c>
      <c r="HI69" t="e">
        <f>AND(#REF!,"AAAAAE3lV9g=")</f>
        <v>#REF!</v>
      </c>
      <c r="HJ69" t="e">
        <f>AND(#REF!,"AAAAAE3lV9k=")</f>
        <v>#REF!</v>
      </c>
      <c r="HK69" t="e">
        <f>AND(#REF!,"AAAAAE3lV9o=")</f>
        <v>#REF!</v>
      </c>
      <c r="HL69" t="e">
        <f>AND(#REF!,"AAAAAE3lV9s=")</f>
        <v>#REF!</v>
      </c>
      <c r="HM69" t="e">
        <f>AND(#REF!,"AAAAAE3lV9w=")</f>
        <v>#REF!</v>
      </c>
      <c r="HN69" t="e">
        <f>AND(#REF!,"AAAAAE3lV90=")</f>
        <v>#REF!</v>
      </c>
      <c r="HO69" t="e">
        <f>AND(#REF!,"AAAAAE3lV94=")</f>
        <v>#REF!</v>
      </c>
      <c r="HP69" t="e">
        <f>AND(#REF!,"AAAAAE3lV98=")</f>
        <v>#REF!</v>
      </c>
      <c r="HQ69" t="e">
        <f>AND(#REF!,"AAAAAE3lV+A=")</f>
        <v>#REF!</v>
      </c>
      <c r="HR69" t="e">
        <f>AND(#REF!,"AAAAAE3lV+E=")</f>
        <v>#REF!</v>
      </c>
      <c r="HS69" t="e">
        <f>AND(#REF!,"AAAAAE3lV+I=")</f>
        <v>#REF!</v>
      </c>
      <c r="HT69" t="e">
        <f>AND(#REF!,"AAAAAE3lV+M=")</f>
        <v>#REF!</v>
      </c>
      <c r="HU69" t="e">
        <f>AND(#REF!,"AAAAAE3lV+Q=")</f>
        <v>#REF!</v>
      </c>
      <c r="HV69" t="e">
        <f>AND(#REF!,"AAAAAE3lV+U=")</f>
        <v>#REF!</v>
      </c>
      <c r="HW69" t="e">
        <f>AND(#REF!,"AAAAAE3lV+Y=")</f>
        <v>#REF!</v>
      </c>
      <c r="HX69" t="e">
        <f>AND(#REF!,"AAAAAE3lV+c=")</f>
        <v>#REF!</v>
      </c>
      <c r="HY69" t="e">
        <f>AND(#REF!,"AAAAAE3lV+g=")</f>
        <v>#REF!</v>
      </c>
      <c r="HZ69" t="e">
        <f>AND(#REF!,"AAAAAE3lV+k=")</f>
        <v>#REF!</v>
      </c>
      <c r="IA69" t="e">
        <f>AND(#REF!,"AAAAAE3lV+o=")</f>
        <v>#REF!</v>
      </c>
      <c r="IB69" t="e">
        <f>AND(#REF!,"AAAAAE3lV+s=")</f>
        <v>#REF!</v>
      </c>
      <c r="IC69" t="e">
        <f>AND(#REF!,"AAAAAE3lV+w=")</f>
        <v>#REF!</v>
      </c>
      <c r="ID69" t="e">
        <f>AND(#REF!,"AAAAAE3lV+0=")</f>
        <v>#REF!</v>
      </c>
      <c r="IE69" t="e">
        <f>AND(#REF!,"AAAAAE3lV+4=")</f>
        <v>#REF!</v>
      </c>
      <c r="IF69" t="e">
        <f>AND(#REF!,"AAAAAE3lV+8=")</f>
        <v>#REF!</v>
      </c>
      <c r="IG69" t="e">
        <f>AND(#REF!,"AAAAAE3lV/A=")</f>
        <v>#REF!</v>
      </c>
      <c r="IH69" t="e">
        <f>IF(#REF!,"AAAAAE3lV/E=",0)</f>
        <v>#REF!</v>
      </c>
      <c r="II69" t="e">
        <f>AND(#REF!,"AAAAAE3lV/I=")</f>
        <v>#REF!</v>
      </c>
      <c r="IJ69" t="e">
        <f>AND(#REF!,"AAAAAE3lV/M=")</f>
        <v>#REF!</v>
      </c>
      <c r="IK69" t="e">
        <f>AND(#REF!,"AAAAAE3lV/Q=")</f>
        <v>#REF!</v>
      </c>
      <c r="IL69" t="e">
        <f>AND(#REF!,"AAAAAE3lV/U=")</f>
        <v>#REF!</v>
      </c>
      <c r="IM69" t="e">
        <f>AND(#REF!,"AAAAAE3lV/Y=")</f>
        <v>#REF!</v>
      </c>
      <c r="IN69" t="e">
        <f>AND(#REF!,"AAAAAE3lV/c=")</f>
        <v>#REF!</v>
      </c>
      <c r="IO69" t="e">
        <f>AND(#REF!,"AAAAAE3lV/g=")</f>
        <v>#REF!</v>
      </c>
      <c r="IP69" t="e">
        <f>AND(#REF!,"AAAAAE3lV/k=")</f>
        <v>#REF!</v>
      </c>
      <c r="IQ69" t="e">
        <f>AND(#REF!,"AAAAAE3lV/o=")</f>
        <v>#REF!</v>
      </c>
      <c r="IR69" t="e">
        <f>AND(#REF!,"AAAAAE3lV/s=")</f>
        <v>#REF!</v>
      </c>
      <c r="IS69" t="e">
        <f>AND(#REF!,"AAAAAE3lV/w=")</f>
        <v>#REF!</v>
      </c>
      <c r="IT69" t="e">
        <f>AND(#REF!,"AAAAAE3lV/0=")</f>
        <v>#REF!</v>
      </c>
      <c r="IU69" t="e">
        <f>AND(#REF!,"AAAAAE3lV/4=")</f>
        <v>#REF!</v>
      </c>
      <c r="IV69" t="e">
        <f>AND(#REF!,"AAAAAE3lV/8=")</f>
        <v>#REF!</v>
      </c>
    </row>
    <row r="70" spans="1:256" x14ac:dyDescent="0.25">
      <c r="A70" t="e">
        <f>AND(#REF!,"AAAAAH27/wA=")</f>
        <v>#REF!</v>
      </c>
      <c r="B70" t="e">
        <f>AND(#REF!,"AAAAAH27/wE=")</f>
        <v>#REF!</v>
      </c>
      <c r="C70" t="e">
        <f>AND(#REF!,"AAAAAH27/wI=")</f>
        <v>#REF!</v>
      </c>
      <c r="D70" t="e">
        <f>AND(#REF!,"AAAAAH27/wM=")</f>
        <v>#REF!</v>
      </c>
      <c r="E70" t="e">
        <f>AND(#REF!,"AAAAAH27/wQ=")</f>
        <v>#REF!</v>
      </c>
      <c r="F70" t="e">
        <f>AND(#REF!,"AAAAAH27/wU=")</f>
        <v>#REF!</v>
      </c>
      <c r="G70" t="e">
        <f>AND(#REF!,"AAAAAH27/wY=")</f>
        <v>#REF!</v>
      </c>
      <c r="H70" t="e">
        <f>AND(#REF!,"AAAAAH27/wc=")</f>
        <v>#REF!</v>
      </c>
      <c r="I70" t="e">
        <f>AND(#REF!,"AAAAAH27/wg=")</f>
        <v>#REF!</v>
      </c>
      <c r="J70" t="e">
        <f>AND(#REF!,"AAAAAH27/wk=")</f>
        <v>#REF!</v>
      </c>
      <c r="K70" t="e">
        <f>AND(#REF!,"AAAAAH27/wo=")</f>
        <v>#REF!</v>
      </c>
      <c r="L70" t="e">
        <f>AND(#REF!,"AAAAAH27/ws=")</f>
        <v>#REF!</v>
      </c>
      <c r="M70" t="e">
        <f>AND(#REF!,"AAAAAH27/ww=")</f>
        <v>#REF!</v>
      </c>
      <c r="N70" t="e">
        <f>AND(#REF!,"AAAAAH27/w0=")</f>
        <v>#REF!</v>
      </c>
      <c r="O70" t="e">
        <f>AND(#REF!,"AAAAAH27/w4=")</f>
        <v>#REF!</v>
      </c>
      <c r="P70" t="e">
        <f>AND(#REF!,"AAAAAH27/w8=")</f>
        <v>#REF!</v>
      </c>
      <c r="Q70" t="e">
        <f>AND(#REF!,"AAAAAH27/xA=")</f>
        <v>#REF!</v>
      </c>
      <c r="R70" t="e">
        <f>AND(#REF!,"AAAAAH27/xE=")</f>
        <v>#REF!</v>
      </c>
      <c r="S70" t="e">
        <f>IF(#REF!,"AAAAAH27/xI=",0)</f>
        <v>#REF!</v>
      </c>
      <c r="T70" t="e">
        <f>AND(#REF!,"AAAAAH27/xM=")</f>
        <v>#REF!</v>
      </c>
      <c r="U70" t="e">
        <f>AND(#REF!,"AAAAAH27/xQ=")</f>
        <v>#REF!</v>
      </c>
      <c r="V70" t="e">
        <f>AND(#REF!,"AAAAAH27/xU=")</f>
        <v>#REF!</v>
      </c>
      <c r="W70" t="e">
        <f>AND(#REF!,"AAAAAH27/xY=")</f>
        <v>#REF!</v>
      </c>
      <c r="X70" t="e">
        <f>AND(#REF!,"AAAAAH27/xc=")</f>
        <v>#REF!</v>
      </c>
      <c r="Y70" t="e">
        <f>AND(#REF!,"AAAAAH27/xg=")</f>
        <v>#REF!</v>
      </c>
      <c r="Z70" t="e">
        <f>AND(#REF!,"AAAAAH27/xk=")</f>
        <v>#REF!</v>
      </c>
      <c r="AA70" t="e">
        <f>AND(#REF!,"AAAAAH27/xo=")</f>
        <v>#REF!</v>
      </c>
      <c r="AB70" t="e">
        <f>AND(#REF!,"AAAAAH27/xs=")</f>
        <v>#REF!</v>
      </c>
      <c r="AC70" t="e">
        <f>AND(#REF!,"AAAAAH27/xw=")</f>
        <v>#REF!</v>
      </c>
      <c r="AD70" t="e">
        <f>AND(#REF!,"AAAAAH27/x0=")</f>
        <v>#REF!</v>
      </c>
      <c r="AE70" t="e">
        <f>AND(#REF!,"AAAAAH27/x4=")</f>
        <v>#REF!</v>
      </c>
      <c r="AF70" t="e">
        <f>AND(#REF!,"AAAAAH27/x8=")</f>
        <v>#REF!</v>
      </c>
      <c r="AG70" t="e">
        <f>AND(#REF!,"AAAAAH27/yA=")</f>
        <v>#REF!</v>
      </c>
      <c r="AH70" t="e">
        <f>AND(#REF!,"AAAAAH27/yE=")</f>
        <v>#REF!</v>
      </c>
      <c r="AI70" t="e">
        <f>AND(#REF!,"AAAAAH27/yI=")</f>
        <v>#REF!</v>
      </c>
      <c r="AJ70" t="e">
        <f>AND(#REF!,"AAAAAH27/yM=")</f>
        <v>#REF!</v>
      </c>
      <c r="AK70" t="e">
        <f>AND(#REF!,"AAAAAH27/yQ=")</f>
        <v>#REF!</v>
      </c>
      <c r="AL70" t="e">
        <f>AND(#REF!,"AAAAAH27/yU=")</f>
        <v>#REF!</v>
      </c>
      <c r="AM70" t="e">
        <f>AND(#REF!,"AAAAAH27/yY=")</f>
        <v>#REF!</v>
      </c>
      <c r="AN70" t="e">
        <f>AND(#REF!,"AAAAAH27/yc=")</f>
        <v>#REF!</v>
      </c>
      <c r="AO70" t="e">
        <f>AND(#REF!,"AAAAAH27/yg=")</f>
        <v>#REF!</v>
      </c>
      <c r="AP70" t="e">
        <f>AND(#REF!,"AAAAAH27/yk=")</f>
        <v>#REF!</v>
      </c>
      <c r="AQ70" t="e">
        <f>AND(#REF!,"AAAAAH27/yo=")</f>
        <v>#REF!</v>
      </c>
      <c r="AR70" t="e">
        <f>AND(#REF!,"AAAAAH27/ys=")</f>
        <v>#REF!</v>
      </c>
      <c r="AS70" t="e">
        <f>AND(#REF!,"AAAAAH27/yw=")</f>
        <v>#REF!</v>
      </c>
      <c r="AT70" t="e">
        <f>AND(#REF!,"AAAAAH27/y0=")</f>
        <v>#REF!</v>
      </c>
      <c r="AU70" t="e">
        <f>AND(#REF!,"AAAAAH27/y4=")</f>
        <v>#REF!</v>
      </c>
      <c r="AV70" t="e">
        <f>AND(#REF!,"AAAAAH27/y8=")</f>
        <v>#REF!</v>
      </c>
      <c r="AW70" t="e">
        <f>AND(#REF!,"AAAAAH27/zA=")</f>
        <v>#REF!</v>
      </c>
      <c r="AX70" t="e">
        <f>AND(#REF!,"AAAAAH27/zE=")</f>
        <v>#REF!</v>
      </c>
      <c r="AY70" t="e">
        <f>AND(#REF!,"AAAAAH27/zI=")</f>
        <v>#REF!</v>
      </c>
      <c r="AZ70" t="e">
        <f>IF(#REF!,"AAAAAH27/zM=",0)</f>
        <v>#REF!</v>
      </c>
      <c r="BA70" t="e">
        <f>AND(#REF!,"AAAAAH27/zQ=")</f>
        <v>#REF!</v>
      </c>
      <c r="BB70" t="e">
        <f>AND(#REF!,"AAAAAH27/zU=")</f>
        <v>#REF!</v>
      </c>
      <c r="BC70" t="e">
        <f>AND(#REF!,"AAAAAH27/zY=")</f>
        <v>#REF!</v>
      </c>
      <c r="BD70" t="e">
        <f>AND(#REF!,"AAAAAH27/zc=")</f>
        <v>#REF!</v>
      </c>
      <c r="BE70" t="e">
        <f>AND(#REF!,"AAAAAH27/zg=")</f>
        <v>#REF!</v>
      </c>
      <c r="BF70" t="e">
        <f>AND(#REF!,"AAAAAH27/zk=")</f>
        <v>#REF!</v>
      </c>
      <c r="BG70" t="e">
        <f>AND(#REF!,"AAAAAH27/zo=")</f>
        <v>#REF!</v>
      </c>
      <c r="BH70" t="e">
        <f>AND(#REF!,"AAAAAH27/zs=")</f>
        <v>#REF!</v>
      </c>
      <c r="BI70" t="e">
        <f>AND(#REF!,"AAAAAH27/zw=")</f>
        <v>#REF!</v>
      </c>
      <c r="BJ70" t="e">
        <f>AND(#REF!,"AAAAAH27/z0=")</f>
        <v>#REF!</v>
      </c>
      <c r="BK70" t="e">
        <f>AND(#REF!,"AAAAAH27/z4=")</f>
        <v>#REF!</v>
      </c>
      <c r="BL70" t="e">
        <f>AND(#REF!,"AAAAAH27/z8=")</f>
        <v>#REF!</v>
      </c>
      <c r="BM70" t="e">
        <f>AND(#REF!,"AAAAAH27/0A=")</f>
        <v>#REF!</v>
      </c>
      <c r="BN70" t="e">
        <f>AND(#REF!,"AAAAAH27/0E=")</f>
        <v>#REF!</v>
      </c>
      <c r="BO70" t="e">
        <f>AND(#REF!,"AAAAAH27/0I=")</f>
        <v>#REF!</v>
      </c>
      <c r="BP70" t="e">
        <f>AND(#REF!,"AAAAAH27/0M=")</f>
        <v>#REF!</v>
      </c>
      <c r="BQ70" t="e">
        <f>AND(#REF!,"AAAAAH27/0Q=")</f>
        <v>#REF!</v>
      </c>
      <c r="BR70" t="e">
        <f>AND(#REF!,"AAAAAH27/0U=")</f>
        <v>#REF!</v>
      </c>
      <c r="BS70" t="e">
        <f>AND(#REF!,"AAAAAH27/0Y=")</f>
        <v>#REF!</v>
      </c>
      <c r="BT70" t="e">
        <f>AND(#REF!,"AAAAAH27/0c=")</f>
        <v>#REF!</v>
      </c>
      <c r="BU70" t="e">
        <f>AND(#REF!,"AAAAAH27/0g=")</f>
        <v>#REF!</v>
      </c>
      <c r="BV70" t="e">
        <f>AND(#REF!,"AAAAAH27/0k=")</f>
        <v>#REF!</v>
      </c>
      <c r="BW70" t="e">
        <f>AND(#REF!,"AAAAAH27/0o=")</f>
        <v>#REF!</v>
      </c>
      <c r="BX70" t="e">
        <f>AND(#REF!,"AAAAAH27/0s=")</f>
        <v>#REF!</v>
      </c>
      <c r="BY70" t="e">
        <f>AND(#REF!,"AAAAAH27/0w=")</f>
        <v>#REF!</v>
      </c>
      <c r="BZ70" t="e">
        <f>AND(#REF!,"AAAAAH27/00=")</f>
        <v>#REF!</v>
      </c>
      <c r="CA70" t="e">
        <f>AND(#REF!,"AAAAAH27/04=")</f>
        <v>#REF!</v>
      </c>
      <c r="CB70" t="e">
        <f>AND(#REF!,"AAAAAH27/08=")</f>
        <v>#REF!</v>
      </c>
      <c r="CC70" t="e">
        <f>AND(#REF!,"AAAAAH27/1A=")</f>
        <v>#REF!</v>
      </c>
      <c r="CD70" t="e">
        <f>AND(#REF!,"AAAAAH27/1E=")</f>
        <v>#REF!</v>
      </c>
      <c r="CE70" t="e">
        <f>AND(#REF!,"AAAAAH27/1I=")</f>
        <v>#REF!</v>
      </c>
      <c r="CF70" t="e">
        <f>AND(#REF!,"AAAAAH27/1M=")</f>
        <v>#REF!</v>
      </c>
      <c r="CG70" t="e">
        <f>IF(#REF!,"AAAAAH27/1Q=",0)</f>
        <v>#REF!</v>
      </c>
      <c r="CH70" t="e">
        <f>AND(#REF!,"AAAAAH27/1U=")</f>
        <v>#REF!</v>
      </c>
      <c r="CI70" t="e">
        <f>AND(#REF!,"AAAAAH27/1Y=")</f>
        <v>#REF!</v>
      </c>
      <c r="CJ70" t="e">
        <f>AND(#REF!,"AAAAAH27/1c=")</f>
        <v>#REF!</v>
      </c>
      <c r="CK70" t="e">
        <f>AND(#REF!,"AAAAAH27/1g=")</f>
        <v>#REF!</v>
      </c>
      <c r="CL70" t="e">
        <f>AND(#REF!,"AAAAAH27/1k=")</f>
        <v>#REF!</v>
      </c>
      <c r="CM70" t="e">
        <f>AND(#REF!,"AAAAAH27/1o=")</f>
        <v>#REF!</v>
      </c>
      <c r="CN70" t="e">
        <f>AND(#REF!,"AAAAAH27/1s=")</f>
        <v>#REF!</v>
      </c>
      <c r="CO70" t="e">
        <f>AND(#REF!,"AAAAAH27/1w=")</f>
        <v>#REF!</v>
      </c>
      <c r="CP70" t="e">
        <f>AND(#REF!,"AAAAAH27/10=")</f>
        <v>#REF!</v>
      </c>
      <c r="CQ70" t="e">
        <f>AND(#REF!,"AAAAAH27/14=")</f>
        <v>#REF!</v>
      </c>
      <c r="CR70" t="e">
        <f>AND(#REF!,"AAAAAH27/18=")</f>
        <v>#REF!</v>
      </c>
      <c r="CS70" t="e">
        <f>AND(#REF!,"AAAAAH27/2A=")</f>
        <v>#REF!</v>
      </c>
      <c r="CT70" t="e">
        <f>AND(#REF!,"AAAAAH27/2E=")</f>
        <v>#REF!</v>
      </c>
      <c r="CU70" t="e">
        <f>AND(#REF!,"AAAAAH27/2I=")</f>
        <v>#REF!</v>
      </c>
      <c r="CV70" t="e">
        <f>AND(#REF!,"AAAAAH27/2M=")</f>
        <v>#REF!</v>
      </c>
      <c r="CW70" t="e">
        <f>AND(#REF!,"AAAAAH27/2Q=")</f>
        <v>#REF!</v>
      </c>
      <c r="CX70" t="e">
        <f>AND(#REF!,"AAAAAH27/2U=")</f>
        <v>#REF!</v>
      </c>
      <c r="CY70" t="e">
        <f>AND(#REF!,"AAAAAH27/2Y=")</f>
        <v>#REF!</v>
      </c>
      <c r="CZ70" t="e">
        <f>AND(#REF!,"AAAAAH27/2c=")</f>
        <v>#REF!</v>
      </c>
      <c r="DA70" t="e">
        <f>AND(#REF!,"AAAAAH27/2g=")</f>
        <v>#REF!</v>
      </c>
      <c r="DB70" t="e">
        <f>AND(#REF!,"AAAAAH27/2k=")</f>
        <v>#REF!</v>
      </c>
      <c r="DC70" t="e">
        <f>AND(#REF!,"AAAAAH27/2o=")</f>
        <v>#REF!</v>
      </c>
      <c r="DD70" t="e">
        <f>AND(#REF!,"AAAAAH27/2s=")</f>
        <v>#REF!</v>
      </c>
      <c r="DE70" t="e">
        <f>AND(#REF!,"AAAAAH27/2w=")</f>
        <v>#REF!</v>
      </c>
      <c r="DF70" t="e">
        <f>AND(#REF!,"AAAAAH27/20=")</f>
        <v>#REF!</v>
      </c>
      <c r="DG70" t="e">
        <f>AND(#REF!,"AAAAAH27/24=")</f>
        <v>#REF!</v>
      </c>
      <c r="DH70" t="e">
        <f>AND(#REF!,"AAAAAH27/28=")</f>
        <v>#REF!</v>
      </c>
      <c r="DI70" t="e">
        <f>AND(#REF!,"AAAAAH27/3A=")</f>
        <v>#REF!</v>
      </c>
      <c r="DJ70" t="e">
        <f>AND(#REF!,"AAAAAH27/3E=")</f>
        <v>#REF!</v>
      </c>
      <c r="DK70" t="e">
        <f>AND(#REF!,"AAAAAH27/3I=")</f>
        <v>#REF!</v>
      </c>
      <c r="DL70" t="e">
        <f>AND(#REF!,"AAAAAH27/3M=")</f>
        <v>#REF!</v>
      </c>
      <c r="DM70" t="e">
        <f>AND(#REF!,"AAAAAH27/3Q=")</f>
        <v>#REF!</v>
      </c>
      <c r="DN70" t="e">
        <f>IF(#REF!,"AAAAAH27/3U=",0)</f>
        <v>#REF!</v>
      </c>
      <c r="DO70" t="e">
        <f>AND(#REF!,"AAAAAH27/3Y=")</f>
        <v>#REF!</v>
      </c>
      <c r="DP70" t="e">
        <f>AND(#REF!,"AAAAAH27/3c=")</f>
        <v>#REF!</v>
      </c>
      <c r="DQ70" t="e">
        <f>AND(#REF!,"AAAAAH27/3g=")</f>
        <v>#REF!</v>
      </c>
      <c r="DR70" t="e">
        <f>AND(#REF!,"AAAAAH27/3k=")</f>
        <v>#REF!</v>
      </c>
      <c r="DS70" t="e">
        <f>AND(#REF!,"AAAAAH27/3o=")</f>
        <v>#REF!</v>
      </c>
      <c r="DT70" t="e">
        <f>AND(#REF!,"AAAAAH27/3s=")</f>
        <v>#REF!</v>
      </c>
      <c r="DU70" t="e">
        <f>AND(#REF!,"AAAAAH27/3w=")</f>
        <v>#REF!</v>
      </c>
      <c r="DV70" t="e">
        <f>AND(#REF!,"AAAAAH27/30=")</f>
        <v>#REF!</v>
      </c>
      <c r="DW70" t="e">
        <f>AND(#REF!,"AAAAAH27/34=")</f>
        <v>#REF!</v>
      </c>
      <c r="DX70" t="e">
        <f>AND(#REF!,"AAAAAH27/38=")</f>
        <v>#REF!</v>
      </c>
      <c r="DY70" t="e">
        <f>AND(#REF!,"AAAAAH27/4A=")</f>
        <v>#REF!</v>
      </c>
      <c r="DZ70" t="e">
        <f>AND(#REF!,"AAAAAH27/4E=")</f>
        <v>#REF!</v>
      </c>
      <c r="EA70" t="e">
        <f>AND(#REF!,"AAAAAH27/4I=")</f>
        <v>#REF!</v>
      </c>
      <c r="EB70" t="e">
        <f>AND(#REF!,"AAAAAH27/4M=")</f>
        <v>#REF!</v>
      </c>
      <c r="EC70" t="e">
        <f>AND(#REF!,"AAAAAH27/4Q=")</f>
        <v>#REF!</v>
      </c>
      <c r="ED70" t="e">
        <f>AND(#REF!,"AAAAAH27/4U=")</f>
        <v>#REF!</v>
      </c>
      <c r="EE70" t="e">
        <f>AND(#REF!,"AAAAAH27/4Y=")</f>
        <v>#REF!</v>
      </c>
      <c r="EF70" t="e">
        <f>AND(#REF!,"AAAAAH27/4c=")</f>
        <v>#REF!</v>
      </c>
      <c r="EG70" t="e">
        <f>AND(#REF!,"AAAAAH27/4g=")</f>
        <v>#REF!</v>
      </c>
      <c r="EH70" t="e">
        <f>AND(#REF!,"AAAAAH27/4k=")</f>
        <v>#REF!</v>
      </c>
      <c r="EI70" t="e">
        <f>AND(#REF!,"AAAAAH27/4o=")</f>
        <v>#REF!</v>
      </c>
      <c r="EJ70" t="e">
        <f>AND(#REF!,"AAAAAH27/4s=")</f>
        <v>#REF!</v>
      </c>
      <c r="EK70" t="e">
        <f>AND(#REF!,"AAAAAH27/4w=")</f>
        <v>#REF!</v>
      </c>
      <c r="EL70" t="e">
        <f>AND(#REF!,"AAAAAH27/40=")</f>
        <v>#REF!</v>
      </c>
      <c r="EM70" t="e">
        <f>AND(#REF!,"AAAAAH27/44=")</f>
        <v>#REF!</v>
      </c>
      <c r="EN70" t="e">
        <f>AND(#REF!,"AAAAAH27/48=")</f>
        <v>#REF!</v>
      </c>
      <c r="EO70" t="e">
        <f>AND(#REF!,"AAAAAH27/5A=")</f>
        <v>#REF!</v>
      </c>
      <c r="EP70" t="e">
        <f>AND(#REF!,"AAAAAH27/5E=")</f>
        <v>#REF!</v>
      </c>
      <c r="EQ70" t="e">
        <f>AND(#REF!,"AAAAAH27/5I=")</f>
        <v>#REF!</v>
      </c>
      <c r="ER70" t="e">
        <f>AND(#REF!,"AAAAAH27/5M=")</f>
        <v>#REF!</v>
      </c>
      <c r="ES70" t="e">
        <f>AND(#REF!,"AAAAAH27/5Q=")</f>
        <v>#REF!</v>
      </c>
      <c r="ET70" t="e">
        <f>AND(#REF!,"AAAAAH27/5U=")</f>
        <v>#REF!</v>
      </c>
      <c r="EU70" t="e">
        <f>IF(#REF!,"AAAAAH27/5Y=",0)</f>
        <v>#REF!</v>
      </c>
      <c r="EV70" t="e">
        <f>AND(#REF!,"AAAAAH27/5c=")</f>
        <v>#REF!</v>
      </c>
      <c r="EW70" t="e">
        <f>AND(#REF!,"AAAAAH27/5g=")</f>
        <v>#REF!</v>
      </c>
      <c r="EX70" t="e">
        <f>AND(#REF!,"AAAAAH27/5k=")</f>
        <v>#REF!</v>
      </c>
      <c r="EY70" t="e">
        <f>AND(#REF!,"AAAAAH27/5o=")</f>
        <v>#REF!</v>
      </c>
      <c r="EZ70" t="e">
        <f>AND(#REF!,"AAAAAH27/5s=")</f>
        <v>#REF!</v>
      </c>
      <c r="FA70" t="e">
        <f>AND(#REF!,"AAAAAH27/5w=")</f>
        <v>#REF!</v>
      </c>
      <c r="FB70" t="e">
        <f>AND(#REF!,"AAAAAH27/50=")</f>
        <v>#REF!</v>
      </c>
      <c r="FC70" t="e">
        <f>AND(#REF!,"AAAAAH27/54=")</f>
        <v>#REF!</v>
      </c>
      <c r="FD70" t="e">
        <f>AND(#REF!,"AAAAAH27/58=")</f>
        <v>#REF!</v>
      </c>
      <c r="FE70" t="e">
        <f>AND(#REF!,"AAAAAH27/6A=")</f>
        <v>#REF!</v>
      </c>
      <c r="FF70" t="e">
        <f>AND(#REF!,"AAAAAH27/6E=")</f>
        <v>#REF!</v>
      </c>
      <c r="FG70" t="e">
        <f>AND(#REF!,"AAAAAH27/6I=")</f>
        <v>#REF!</v>
      </c>
      <c r="FH70" t="e">
        <f>AND(#REF!,"AAAAAH27/6M=")</f>
        <v>#REF!</v>
      </c>
      <c r="FI70" t="e">
        <f>AND(#REF!,"AAAAAH27/6Q=")</f>
        <v>#REF!</v>
      </c>
      <c r="FJ70" t="e">
        <f>AND(#REF!,"AAAAAH27/6U=")</f>
        <v>#REF!</v>
      </c>
      <c r="FK70" t="e">
        <f>AND(#REF!,"AAAAAH27/6Y=")</f>
        <v>#REF!</v>
      </c>
      <c r="FL70" t="e">
        <f>AND(#REF!,"AAAAAH27/6c=")</f>
        <v>#REF!</v>
      </c>
      <c r="FM70" t="e">
        <f>AND(#REF!,"AAAAAH27/6g=")</f>
        <v>#REF!</v>
      </c>
      <c r="FN70" t="e">
        <f>AND(#REF!,"AAAAAH27/6k=")</f>
        <v>#REF!</v>
      </c>
      <c r="FO70" t="e">
        <f>AND(#REF!,"AAAAAH27/6o=")</f>
        <v>#REF!</v>
      </c>
      <c r="FP70" t="e">
        <f>AND(#REF!,"AAAAAH27/6s=")</f>
        <v>#REF!</v>
      </c>
      <c r="FQ70" t="e">
        <f>AND(#REF!,"AAAAAH27/6w=")</f>
        <v>#REF!</v>
      </c>
      <c r="FR70" t="e">
        <f>AND(#REF!,"AAAAAH27/60=")</f>
        <v>#REF!</v>
      </c>
      <c r="FS70" t="e">
        <f>AND(#REF!,"AAAAAH27/64=")</f>
        <v>#REF!</v>
      </c>
      <c r="FT70" t="e">
        <f>AND(#REF!,"AAAAAH27/68=")</f>
        <v>#REF!</v>
      </c>
      <c r="FU70" t="e">
        <f>AND(#REF!,"AAAAAH27/7A=")</f>
        <v>#REF!</v>
      </c>
      <c r="FV70" t="e">
        <f>AND(#REF!,"AAAAAH27/7E=")</f>
        <v>#REF!</v>
      </c>
      <c r="FW70" t="e">
        <f>AND(#REF!,"AAAAAH27/7I=")</f>
        <v>#REF!</v>
      </c>
      <c r="FX70" t="e">
        <f>AND(#REF!,"AAAAAH27/7M=")</f>
        <v>#REF!</v>
      </c>
      <c r="FY70" t="e">
        <f>AND(#REF!,"AAAAAH27/7Q=")</f>
        <v>#REF!</v>
      </c>
      <c r="FZ70" t="e">
        <f>AND(#REF!,"AAAAAH27/7U=")</f>
        <v>#REF!</v>
      </c>
      <c r="GA70" t="e">
        <f>AND(#REF!,"AAAAAH27/7Y=")</f>
        <v>#REF!</v>
      </c>
      <c r="GB70" t="e">
        <f>IF(#REF!,"AAAAAH27/7c=",0)</f>
        <v>#REF!</v>
      </c>
      <c r="GC70" t="e">
        <f>AND(#REF!,"AAAAAH27/7g=")</f>
        <v>#REF!</v>
      </c>
      <c r="GD70" t="e">
        <f>AND(#REF!,"AAAAAH27/7k=")</f>
        <v>#REF!</v>
      </c>
      <c r="GE70" t="e">
        <f>AND(#REF!,"AAAAAH27/7o=")</f>
        <v>#REF!</v>
      </c>
      <c r="GF70" t="e">
        <f>AND(#REF!,"AAAAAH27/7s=")</f>
        <v>#REF!</v>
      </c>
      <c r="GG70" t="e">
        <f>AND(#REF!,"AAAAAH27/7w=")</f>
        <v>#REF!</v>
      </c>
      <c r="GH70" t="e">
        <f>AND(#REF!,"AAAAAH27/70=")</f>
        <v>#REF!</v>
      </c>
      <c r="GI70" t="e">
        <f>AND(#REF!,"AAAAAH27/74=")</f>
        <v>#REF!</v>
      </c>
      <c r="GJ70" t="e">
        <f>AND(#REF!,"AAAAAH27/78=")</f>
        <v>#REF!</v>
      </c>
      <c r="GK70" t="e">
        <f>AND(#REF!,"AAAAAH27/8A=")</f>
        <v>#REF!</v>
      </c>
      <c r="GL70" t="e">
        <f>AND(#REF!,"AAAAAH27/8E=")</f>
        <v>#REF!</v>
      </c>
      <c r="GM70" t="e">
        <f>AND(#REF!,"AAAAAH27/8I=")</f>
        <v>#REF!</v>
      </c>
      <c r="GN70" t="e">
        <f>AND(#REF!,"AAAAAH27/8M=")</f>
        <v>#REF!</v>
      </c>
      <c r="GO70" t="e">
        <f>AND(#REF!,"AAAAAH27/8Q=")</f>
        <v>#REF!</v>
      </c>
      <c r="GP70" t="e">
        <f>AND(#REF!,"AAAAAH27/8U=")</f>
        <v>#REF!</v>
      </c>
      <c r="GQ70" t="e">
        <f>AND(#REF!,"AAAAAH27/8Y=")</f>
        <v>#REF!</v>
      </c>
      <c r="GR70" t="e">
        <f>AND(#REF!,"AAAAAH27/8c=")</f>
        <v>#REF!</v>
      </c>
      <c r="GS70" t="e">
        <f>AND(#REF!,"AAAAAH27/8g=")</f>
        <v>#REF!</v>
      </c>
      <c r="GT70" t="e">
        <f>AND(#REF!,"AAAAAH27/8k=")</f>
        <v>#REF!</v>
      </c>
      <c r="GU70" t="e">
        <f>AND(#REF!,"AAAAAH27/8o=")</f>
        <v>#REF!</v>
      </c>
      <c r="GV70" t="e">
        <f>AND(#REF!,"AAAAAH27/8s=")</f>
        <v>#REF!</v>
      </c>
      <c r="GW70" t="e">
        <f>AND(#REF!,"AAAAAH27/8w=")</f>
        <v>#REF!</v>
      </c>
      <c r="GX70" t="e">
        <f>AND(#REF!,"AAAAAH27/80=")</f>
        <v>#REF!</v>
      </c>
      <c r="GY70" t="e">
        <f>AND(#REF!,"AAAAAH27/84=")</f>
        <v>#REF!</v>
      </c>
      <c r="GZ70" t="e">
        <f>AND(#REF!,"AAAAAH27/88=")</f>
        <v>#REF!</v>
      </c>
      <c r="HA70" t="e">
        <f>AND(#REF!,"AAAAAH27/9A=")</f>
        <v>#REF!</v>
      </c>
      <c r="HB70" t="e">
        <f>AND(#REF!,"AAAAAH27/9E=")</f>
        <v>#REF!</v>
      </c>
      <c r="HC70" t="e">
        <f>AND(#REF!,"AAAAAH27/9I=")</f>
        <v>#REF!</v>
      </c>
      <c r="HD70" t="e">
        <f>AND(#REF!,"AAAAAH27/9M=")</f>
        <v>#REF!</v>
      </c>
      <c r="HE70" t="e">
        <f>AND(#REF!,"AAAAAH27/9Q=")</f>
        <v>#REF!</v>
      </c>
      <c r="HF70" t="e">
        <f>AND(#REF!,"AAAAAH27/9U=")</f>
        <v>#REF!</v>
      </c>
      <c r="HG70" t="e">
        <f>AND(#REF!,"AAAAAH27/9Y=")</f>
        <v>#REF!</v>
      </c>
      <c r="HH70" t="e">
        <f>AND(#REF!,"AAAAAH27/9c=")</f>
        <v>#REF!</v>
      </c>
      <c r="HI70" t="e">
        <f>IF(#REF!,"AAAAAH27/9g=",0)</f>
        <v>#REF!</v>
      </c>
      <c r="HJ70" t="e">
        <f>AND(#REF!,"AAAAAH27/9k=")</f>
        <v>#REF!</v>
      </c>
      <c r="HK70" t="e">
        <f>AND(#REF!,"AAAAAH27/9o=")</f>
        <v>#REF!</v>
      </c>
      <c r="HL70" t="e">
        <f>AND(#REF!,"AAAAAH27/9s=")</f>
        <v>#REF!</v>
      </c>
      <c r="HM70" t="e">
        <f>AND(#REF!,"AAAAAH27/9w=")</f>
        <v>#REF!</v>
      </c>
      <c r="HN70" t="e">
        <f>AND(#REF!,"AAAAAH27/90=")</f>
        <v>#REF!</v>
      </c>
      <c r="HO70" t="e">
        <f>AND(#REF!,"AAAAAH27/94=")</f>
        <v>#REF!</v>
      </c>
      <c r="HP70" t="e">
        <f>AND(#REF!,"AAAAAH27/98=")</f>
        <v>#REF!</v>
      </c>
      <c r="HQ70" t="e">
        <f>AND(#REF!,"AAAAAH27/+A=")</f>
        <v>#REF!</v>
      </c>
      <c r="HR70" t="e">
        <f>AND(#REF!,"AAAAAH27/+E=")</f>
        <v>#REF!</v>
      </c>
      <c r="HS70" t="e">
        <f>AND(#REF!,"AAAAAH27/+I=")</f>
        <v>#REF!</v>
      </c>
      <c r="HT70" t="e">
        <f>AND(#REF!,"AAAAAH27/+M=")</f>
        <v>#REF!</v>
      </c>
      <c r="HU70" t="e">
        <f>AND(#REF!,"AAAAAH27/+Q=")</f>
        <v>#REF!</v>
      </c>
      <c r="HV70" t="e">
        <f>AND(#REF!,"AAAAAH27/+U=")</f>
        <v>#REF!</v>
      </c>
      <c r="HW70" t="e">
        <f>AND(#REF!,"AAAAAH27/+Y=")</f>
        <v>#REF!</v>
      </c>
      <c r="HX70" t="e">
        <f>AND(#REF!,"AAAAAH27/+c=")</f>
        <v>#REF!</v>
      </c>
      <c r="HY70" t="e">
        <f>AND(#REF!,"AAAAAH27/+g=")</f>
        <v>#REF!</v>
      </c>
      <c r="HZ70" t="e">
        <f>AND(#REF!,"AAAAAH27/+k=")</f>
        <v>#REF!</v>
      </c>
      <c r="IA70" t="e">
        <f>AND(#REF!,"AAAAAH27/+o=")</f>
        <v>#REF!</v>
      </c>
      <c r="IB70" t="e">
        <f>AND(#REF!,"AAAAAH27/+s=")</f>
        <v>#REF!</v>
      </c>
      <c r="IC70" t="e">
        <f>AND(#REF!,"AAAAAH27/+w=")</f>
        <v>#REF!</v>
      </c>
      <c r="ID70" t="e">
        <f>AND(#REF!,"AAAAAH27/+0=")</f>
        <v>#REF!</v>
      </c>
      <c r="IE70" t="e">
        <f>AND(#REF!,"AAAAAH27/+4=")</f>
        <v>#REF!</v>
      </c>
      <c r="IF70" t="e">
        <f>AND(#REF!,"AAAAAH27/+8=")</f>
        <v>#REF!</v>
      </c>
      <c r="IG70" t="e">
        <f>AND(#REF!,"AAAAAH27//A=")</f>
        <v>#REF!</v>
      </c>
      <c r="IH70" t="e">
        <f>AND(#REF!,"AAAAAH27//E=")</f>
        <v>#REF!</v>
      </c>
      <c r="II70" t="e">
        <f>AND(#REF!,"AAAAAH27//I=")</f>
        <v>#REF!</v>
      </c>
      <c r="IJ70" t="e">
        <f>AND(#REF!,"AAAAAH27//M=")</f>
        <v>#REF!</v>
      </c>
      <c r="IK70" t="e">
        <f>AND(#REF!,"AAAAAH27//Q=")</f>
        <v>#REF!</v>
      </c>
      <c r="IL70" t="e">
        <f>AND(#REF!,"AAAAAH27//U=")</f>
        <v>#REF!</v>
      </c>
      <c r="IM70" t="e">
        <f>AND(#REF!,"AAAAAH27//Y=")</f>
        <v>#REF!</v>
      </c>
      <c r="IN70" t="e">
        <f>AND(#REF!,"AAAAAH27//c=")</f>
        <v>#REF!</v>
      </c>
      <c r="IO70" t="e">
        <f>AND(#REF!,"AAAAAH27//g=")</f>
        <v>#REF!</v>
      </c>
      <c r="IP70" t="e">
        <f>IF(#REF!,"AAAAAH27//k=",0)</f>
        <v>#REF!</v>
      </c>
      <c r="IQ70" t="e">
        <f>AND(#REF!,"AAAAAH27//o=")</f>
        <v>#REF!</v>
      </c>
      <c r="IR70" t="e">
        <f>AND(#REF!,"AAAAAH27//s=")</f>
        <v>#REF!</v>
      </c>
      <c r="IS70" t="e">
        <f>AND(#REF!,"AAAAAH27//w=")</f>
        <v>#REF!</v>
      </c>
      <c r="IT70" t="e">
        <f>AND(#REF!,"AAAAAH27//0=")</f>
        <v>#REF!</v>
      </c>
      <c r="IU70" t="e">
        <f>AND(#REF!,"AAAAAH27//4=")</f>
        <v>#REF!</v>
      </c>
      <c r="IV70" t="e">
        <f>AND(#REF!,"AAAAAH27//8=")</f>
        <v>#REF!</v>
      </c>
    </row>
    <row r="71" spans="1:256" x14ac:dyDescent="0.25">
      <c r="A71" t="e">
        <f>AND(#REF!,"AAAAAH4d/wA=")</f>
        <v>#REF!</v>
      </c>
      <c r="B71" t="e">
        <f>AND(#REF!,"AAAAAH4d/wE=")</f>
        <v>#REF!</v>
      </c>
      <c r="C71" t="e">
        <f>AND(#REF!,"AAAAAH4d/wI=")</f>
        <v>#REF!</v>
      </c>
      <c r="D71" t="e">
        <f>AND(#REF!,"AAAAAH4d/wM=")</f>
        <v>#REF!</v>
      </c>
      <c r="E71" t="e">
        <f>AND(#REF!,"AAAAAH4d/wQ=")</f>
        <v>#REF!</v>
      </c>
      <c r="F71" t="e">
        <f>AND(#REF!,"AAAAAH4d/wU=")</f>
        <v>#REF!</v>
      </c>
      <c r="G71" t="e">
        <f>AND(#REF!,"AAAAAH4d/wY=")</f>
        <v>#REF!</v>
      </c>
      <c r="H71" t="e">
        <f>AND(#REF!,"AAAAAH4d/wc=")</f>
        <v>#REF!</v>
      </c>
      <c r="I71" t="e">
        <f>AND(#REF!,"AAAAAH4d/wg=")</f>
        <v>#REF!</v>
      </c>
      <c r="J71" t="e">
        <f>AND(#REF!,"AAAAAH4d/wk=")</f>
        <v>#REF!</v>
      </c>
      <c r="K71" t="e">
        <f>AND(#REF!,"AAAAAH4d/wo=")</f>
        <v>#REF!</v>
      </c>
      <c r="L71" t="e">
        <f>AND(#REF!,"AAAAAH4d/ws=")</f>
        <v>#REF!</v>
      </c>
      <c r="M71" t="e">
        <f>AND(#REF!,"AAAAAH4d/ww=")</f>
        <v>#REF!</v>
      </c>
      <c r="N71" t="e">
        <f>AND(#REF!,"AAAAAH4d/w0=")</f>
        <v>#REF!</v>
      </c>
      <c r="O71" t="e">
        <f>AND(#REF!,"AAAAAH4d/w4=")</f>
        <v>#REF!</v>
      </c>
      <c r="P71" t="e">
        <f>AND(#REF!,"AAAAAH4d/w8=")</f>
        <v>#REF!</v>
      </c>
      <c r="Q71" t="e">
        <f>AND(#REF!,"AAAAAH4d/xA=")</f>
        <v>#REF!</v>
      </c>
      <c r="R71" t="e">
        <f>AND(#REF!,"AAAAAH4d/xE=")</f>
        <v>#REF!</v>
      </c>
      <c r="S71" t="e">
        <f>AND(#REF!,"AAAAAH4d/xI=")</f>
        <v>#REF!</v>
      </c>
      <c r="T71" t="e">
        <f>AND(#REF!,"AAAAAH4d/xM=")</f>
        <v>#REF!</v>
      </c>
      <c r="U71" t="e">
        <f>AND(#REF!,"AAAAAH4d/xQ=")</f>
        <v>#REF!</v>
      </c>
      <c r="V71" t="e">
        <f>AND(#REF!,"AAAAAH4d/xU=")</f>
        <v>#REF!</v>
      </c>
      <c r="W71" t="e">
        <f>AND(#REF!,"AAAAAH4d/xY=")</f>
        <v>#REF!</v>
      </c>
      <c r="X71" t="e">
        <f>AND(#REF!,"AAAAAH4d/xc=")</f>
        <v>#REF!</v>
      </c>
      <c r="Y71" t="e">
        <f>AND(#REF!,"AAAAAH4d/xg=")</f>
        <v>#REF!</v>
      </c>
      <c r="Z71" t="e">
        <f>AND(#REF!,"AAAAAH4d/xk=")</f>
        <v>#REF!</v>
      </c>
      <c r="AA71" t="e">
        <f>IF(#REF!,"AAAAAH4d/xo=",0)</f>
        <v>#REF!</v>
      </c>
      <c r="AB71" t="e">
        <f>AND(#REF!,"AAAAAH4d/xs=")</f>
        <v>#REF!</v>
      </c>
      <c r="AC71" t="e">
        <f>AND(#REF!,"AAAAAH4d/xw=")</f>
        <v>#REF!</v>
      </c>
      <c r="AD71" t="e">
        <f>AND(#REF!,"AAAAAH4d/x0=")</f>
        <v>#REF!</v>
      </c>
      <c r="AE71" t="e">
        <f>AND(#REF!,"AAAAAH4d/x4=")</f>
        <v>#REF!</v>
      </c>
      <c r="AF71" t="e">
        <f>AND(#REF!,"AAAAAH4d/x8=")</f>
        <v>#REF!</v>
      </c>
      <c r="AG71" t="e">
        <f>AND(#REF!,"AAAAAH4d/yA=")</f>
        <v>#REF!</v>
      </c>
      <c r="AH71" t="e">
        <f>AND(#REF!,"AAAAAH4d/yE=")</f>
        <v>#REF!</v>
      </c>
      <c r="AI71" t="e">
        <f>AND(#REF!,"AAAAAH4d/yI=")</f>
        <v>#REF!</v>
      </c>
      <c r="AJ71" t="e">
        <f>AND(#REF!,"AAAAAH4d/yM=")</f>
        <v>#REF!</v>
      </c>
      <c r="AK71" t="e">
        <f>AND(#REF!,"AAAAAH4d/yQ=")</f>
        <v>#REF!</v>
      </c>
      <c r="AL71" t="e">
        <f>AND(#REF!,"AAAAAH4d/yU=")</f>
        <v>#REF!</v>
      </c>
      <c r="AM71" t="e">
        <f>AND(#REF!,"AAAAAH4d/yY=")</f>
        <v>#REF!</v>
      </c>
      <c r="AN71" t="e">
        <f>AND(#REF!,"AAAAAH4d/yc=")</f>
        <v>#REF!</v>
      </c>
      <c r="AO71" t="e">
        <f>AND(#REF!,"AAAAAH4d/yg=")</f>
        <v>#REF!</v>
      </c>
      <c r="AP71" t="e">
        <f>AND(#REF!,"AAAAAH4d/yk=")</f>
        <v>#REF!</v>
      </c>
      <c r="AQ71" t="e">
        <f>AND(#REF!,"AAAAAH4d/yo=")</f>
        <v>#REF!</v>
      </c>
      <c r="AR71" t="e">
        <f>AND(#REF!,"AAAAAH4d/ys=")</f>
        <v>#REF!</v>
      </c>
      <c r="AS71" t="e">
        <f>AND(#REF!,"AAAAAH4d/yw=")</f>
        <v>#REF!</v>
      </c>
      <c r="AT71" t="e">
        <f>AND(#REF!,"AAAAAH4d/y0=")</f>
        <v>#REF!</v>
      </c>
      <c r="AU71" t="e">
        <f>AND(#REF!,"AAAAAH4d/y4=")</f>
        <v>#REF!</v>
      </c>
      <c r="AV71" t="e">
        <f>AND(#REF!,"AAAAAH4d/y8=")</f>
        <v>#REF!</v>
      </c>
      <c r="AW71" t="e">
        <f>AND(#REF!,"AAAAAH4d/zA=")</f>
        <v>#REF!</v>
      </c>
      <c r="AX71" t="e">
        <f>AND(#REF!,"AAAAAH4d/zE=")</f>
        <v>#REF!</v>
      </c>
      <c r="AY71" t="e">
        <f>AND(#REF!,"AAAAAH4d/zI=")</f>
        <v>#REF!</v>
      </c>
      <c r="AZ71" t="e">
        <f>AND(#REF!,"AAAAAH4d/zM=")</f>
        <v>#REF!</v>
      </c>
      <c r="BA71" t="e">
        <f>AND(#REF!,"AAAAAH4d/zQ=")</f>
        <v>#REF!</v>
      </c>
      <c r="BB71" t="e">
        <f>AND(#REF!,"AAAAAH4d/zU=")</f>
        <v>#REF!</v>
      </c>
      <c r="BC71" t="e">
        <f>AND(#REF!,"AAAAAH4d/zY=")</f>
        <v>#REF!</v>
      </c>
      <c r="BD71" t="e">
        <f>AND(#REF!,"AAAAAH4d/zc=")</f>
        <v>#REF!</v>
      </c>
      <c r="BE71" t="e">
        <f>AND(#REF!,"AAAAAH4d/zg=")</f>
        <v>#REF!</v>
      </c>
      <c r="BF71" t="e">
        <f>AND(#REF!,"AAAAAH4d/zk=")</f>
        <v>#REF!</v>
      </c>
      <c r="BG71" t="e">
        <f>AND(#REF!,"AAAAAH4d/zo=")</f>
        <v>#REF!</v>
      </c>
      <c r="BH71" t="e">
        <f>IF(#REF!,"AAAAAH4d/zs=",0)</f>
        <v>#REF!</v>
      </c>
      <c r="BI71" t="e">
        <f>AND(#REF!,"AAAAAH4d/zw=")</f>
        <v>#REF!</v>
      </c>
      <c r="BJ71" t="e">
        <f>AND(#REF!,"AAAAAH4d/z0=")</f>
        <v>#REF!</v>
      </c>
      <c r="BK71" t="e">
        <f>AND(#REF!,"AAAAAH4d/z4=")</f>
        <v>#REF!</v>
      </c>
      <c r="BL71" t="e">
        <f>AND(#REF!,"AAAAAH4d/z8=")</f>
        <v>#REF!</v>
      </c>
      <c r="BM71" t="e">
        <f>AND(#REF!,"AAAAAH4d/0A=")</f>
        <v>#REF!</v>
      </c>
      <c r="BN71" t="e">
        <f>AND(#REF!,"AAAAAH4d/0E=")</f>
        <v>#REF!</v>
      </c>
      <c r="BO71" t="e">
        <f>AND(#REF!,"AAAAAH4d/0I=")</f>
        <v>#REF!</v>
      </c>
      <c r="BP71" t="e">
        <f>AND(#REF!,"AAAAAH4d/0M=")</f>
        <v>#REF!</v>
      </c>
      <c r="BQ71" t="e">
        <f>AND(#REF!,"AAAAAH4d/0Q=")</f>
        <v>#REF!</v>
      </c>
      <c r="BR71" t="e">
        <f>AND(#REF!,"AAAAAH4d/0U=")</f>
        <v>#REF!</v>
      </c>
      <c r="BS71" t="e">
        <f>AND(#REF!,"AAAAAH4d/0Y=")</f>
        <v>#REF!</v>
      </c>
      <c r="BT71" t="e">
        <f>AND(#REF!,"AAAAAH4d/0c=")</f>
        <v>#REF!</v>
      </c>
      <c r="BU71" t="e">
        <f>AND(#REF!,"AAAAAH4d/0g=")</f>
        <v>#REF!</v>
      </c>
      <c r="BV71" t="e">
        <f>AND(#REF!,"AAAAAH4d/0k=")</f>
        <v>#REF!</v>
      </c>
      <c r="BW71" t="e">
        <f>AND(#REF!,"AAAAAH4d/0o=")</f>
        <v>#REF!</v>
      </c>
      <c r="BX71" t="e">
        <f>AND(#REF!,"AAAAAH4d/0s=")</f>
        <v>#REF!</v>
      </c>
      <c r="BY71" t="e">
        <f>AND(#REF!,"AAAAAH4d/0w=")</f>
        <v>#REF!</v>
      </c>
      <c r="BZ71" t="e">
        <f>AND(#REF!,"AAAAAH4d/00=")</f>
        <v>#REF!</v>
      </c>
      <c r="CA71" t="e">
        <f>AND(#REF!,"AAAAAH4d/04=")</f>
        <v>#REF!</v>
      </c>
      <c r="CB71" t="e">
        <f>AND(#REF!,"AAAAAH4d/08=")</f>
        <v>#REF!</v>
      </c>
      <c r="CC71" t="e">
        <f>AND(#REF!,"AAAAAH4d/1A=")</f>
        <v>#REF!</v>
      </c>
      <c r="CD71" t="e">
        <f>AND(#REF!,"AAAAAH4d/1E=")</f>
        <v>#REF!</v>
      </c>
      <c r="CE71" t="e">
        <f>AND(#REF!,"AAAAAH4d/1I=")</f>
        <v>#REF!</v>
      </c>
      <c r="CF71" t="e">
        <f>AND(#REF!,"AAAAAH4d/1M=")</f>
        <v>#REF!</v>
      </c>
      <c r="CG71" t="e">
        <f>AND(#REF!,"AAAAAH4d/1Q=")</f>
        <v>#REF!</v>
      </c>
      <c r="CH71" t="e">
        <f>AND(#REF!,"AAAAAH4d/1U=")</f>
        <v>#REF!</v>
      </c>
      <c r="CI71" t="e">
        <f>AND(#REF!,"AAAAAH4d/1Y=")</f>
        <v>#REF!</v>
      </c>
      <c r="CJ71" t="e">
        <f>AND(#REF!,"AAAAAH4d/1c=")</f>
        <v>#REF!</v>
      </c>
      <c r="CK71" t="e">
        <f>AND(#REF!,"AAAAAH4d/1g=")</f>
        <v>#REF!</v>
      </c>
      <c r="CL71" t="e">
        <f>AND(#REF!,"AAAAAH4d/1k=")</f>
        <v>#REF!</v>
      </c>
      <c r="CM71" t="e">
        <f>AND(#REF!,"AAAAAH4d/1o=")</f>
        <v>#REF!</v>
      </c>
      <c r="CN71" t="e">
        <f>AND(#REF!,"AAAAAH4d/1s=")</f>
        <v>#REF!</v>
      </c>
      <c r="CO71" t="e">
        <f>IF(#REF!,"AAAAAH4d/1w=",0)</f>
        <v>#REF!</v>
      </c>
      <c r="CP71" t="e">
        <f>AND(#REF!,"AAAAAH4d/10=")</f>
        <v>#REF!</v>
      </c>
      <c r="CQ71" t="e">
        <f>AND(#REF!,"AAAAAH4d/14=")</f>
        <v>#REF!</v>
      </c>
      <c r="CR71" t="e">
        <f>AND(#REF!,"AAAAAH4d/18=")</f>
        <v>#REF!</v>
      </c>
      <c r="CS71" t="e">
        <f>AND(#REF!,"AAAAAH4d/2A=")</f>
        <v>#REF!</v>
      </c>
      <c r="CT71" t="e">
        <f>AND(#REF!,"AAAAAH4d/2E=")</f>
        <v>#REF!</v>
      </c>
      <c r="CU71" t="e">
        <f>AND(#REF!,"AAAAAH4d/2I=")</f>
        <v>#REF!</v>
      </c>
      <c r="CV71" t="e">
        <f>AND(#REF!,"AAAAAH4d/2M=")</f>
        <v>#REF!</v>
      </c>
      <c r="CW71" t="e">
        <f>AND(#REF!,"AAAAAH4d/2Q=")</f>
        <v>#REF!</v>
      </c>
      <c r="CX71" t="e">
        <f>AND(#REF!,"AAAAAH4d/2U=")</f>
        <v>#REF!</v>
      </c>
      <c r="CY71" t="e">
        <f>AND(#REF!,"AAAAAH4d/2Y=")</f>
        <v>#REF!</v>
      </c>
      <c r="CZ71" t="e">
        <f>AND(#REF!,"AAAAAH4d/2c=")</f>
        <v>#REF!</v>
      </c>
      <c r="DA71" t="e">
        <f>AND(#REF!,"AAAAAH4d/2g=")</f>
        <v>#REF!</v>
      </c>
      <c r="DB71" t="e">
        <f>AND(#REF!,"AAAAAH4d/2k=")</f>
        <v>#REF!</v>
      </c>
      <c r="DC71" t="e">
        <f>AND(#REF!,"AAAAAH4d/2o=")</f>
        <v>#REF!</v>
      </c>
      <c r="DD71" t="e">
        <f>AND(#REF!,"AAAAAH4d/2s=")</f>
        <v>#REF!</v>
      </c>
      <c r="DE71" t="e">
        <f>AND(#REF!,"AAAAAH4d/2w=")</f>
        <v>#REF!</v>
      </c>
      <c r="DF71" t="e">
        <f>AND(#REF!,"AAAAAH4d/20=")</f>
        <v>#REF!</v>
      </c>
      <c r="DG71" t="e">
        <f>AND(#REF!,"AAAAAH4d/24=")</f>
        <v>#REF!</v>
      </c>
      <c r="DH71" t="e">
        <f>AND(#REF!,"AAAAAH4d/28=")</f>
        <v>#REF!</v>
      </c>
      <c r="DI71" t="e">
        <f>AND(#REF!,"AAAAAH4d/3A=")</f>
        <v>#REF!</v>
      </c>
      <c r="DJ71" t="e">
        <f>AND(#REF!,"AAAAAH4d/3E=")</f>
        <v>#REF!</v>
      </c>
      <c r="DK71" t="e">
        <f>AND(#REF!,"AAAAAH4d/3I=")</f>
        <v>#REF!</v>
      </c>
      <c r="DL71" t="e">
        <f>AND(#REF!,"AAAAAH4d/3M=")</f>
        <v>#REF!</v>
      </c>
      <c r="DM71" t="e">
        <f>AND(#REF!,"AAAAAH4d/3Q=")</f>
        <v>#REF!</v>
      </c>
      <c r="DN71" t="e">
        <f>AND(#REF!,"AAAAAH4d/3U=")</f>
        <v>#REF!</v>
      </c>
      <c r="DO71" t="e">
        <f>AND(#REF!,"AAAAAH4d/3Y=")</f>
        <v>#REF!</v>
      </c>
      <c r="DP71" t="e">
        <f>AND(#REF!,"AAAAAH4d/3c=")</f>
        <v>#REF!</v>
      </c>
      <c r="DQ71" t="e">
        <f>AND(#REF!,"AAAAAH4d/3g=")</f>
        <v>#REF!</v>
      </c>
      <c r="DR71" t="e">
        <f>AND(#REF!,"AAAAAH4d/3k=")</f>
        <v>#REF!</v>
      </c>
      <c r="DS71" t="e">
        <f>AND(#REF!,"AAAAAH4d/3o=")</f>
        <v>#REF!</v>
      </c>
      <c r="DT71" t="e">
        <f>AND(#REF!,"AAAAAH4d/3s=")</f>
        <v>#REF!</v>
      </c>
      <c r="DU71" t="e">
        <f>AND(#REF!,"AAAAAH4d/3w=")</f>
        <v>#REF!</v>
      </c>
      <c r="DV71" t="e">
        <f>IF(#REF!,"AAAAAH4d/30=",0)</f>
        <v>#REF!</v>
      </c>
      <c r="DW71" t="e">
        <f>AND(#REF!,"AAAAAH4d/34=")</f>
        <v>#REF!</v>
      </c>
      <c r="DX71" t="e">
        <f>AND(#REF!,"AAAAAH4d/38=")</f>
        <v>#REF!</v>
      </c>
      <c r="DY71" t="e">
        <f>AND(#REF!,"AAAAAH4d/4A=")</f>
        <v>#REF!</v>
      </c>
      <c r="DZ71" t="e">
        <f>AND(#REF!,"AAAAAH4d/4E=")</f>
        <v>#REF!</v>
      </c>
      <c r="EA71" t="e">
        <f>AND(#REF!,"AAAAAH4d/4I=")</f>
        <v>#REF!</v>
      </c>
      <c r="EB71" t="e">
        <f>AND(#REF!,"AAAAAH4d/4M=")</f>
        <v>#REF!</v>
      </c>
      <c r="EC71" t="e">
        <f>AND(#REF!,"AAAAAH4d/4Q=")</f>
        <v>#REF!</v>
      </c>
      <c r="ED71" t="e">
        <f>AND(#REF!,"AAAAAH4d/4U=")</f>
        <v>#REF!</v>
      </c>
      <c r="EE71" t="e">
        <f>AND(#REF!,"AAAAAH4d/4Y=")</f>
        <v>#REF!</v>
      </c>
      <c r="EF71" t="e">
        <f>AND(#REF!,"AAAAAH4d/4c=")</f>
        <v>#REF!</v>
      </c>
      <c r="EG71" t="e">
        <f>AND(#REF!,"AAAAAH4d/4g=")</f>
        <v>#REF!</v>
      </c>
      <c r="EH71" t="e">
        <f>AND(#REF!,"AAAAAH4d/4k=")</f>
        <v>#REF!</v>
      </c>
      <c r="EI71" t="e">
        <f>AND(#REF!,"AAAAAH4d/4o=")</f>
        <v>#REF!</v>
      </c>
      <c r="EJ71" t="e">
        <f>AND(#REF!,"AAAAAH4d/4s=")</f>
        <v>#REF!</v>
      </c>
      <c r="EK71" t="e">
        <f>AND(#REF!,"AAAAAH4d/4w=")</f>
        <v>#REF!</v>
      </c>
      <c r="EL71" t="e">
        <f>AND(#REF!,"AAAAAH4d/40=")</f>
        <v>#REF!</v>
      </c>
      <c r="EM71" t="e">
        <f>AND(#REF!,"AAAAAH4d/44=")</f>
        <v>#REF!</v>
      </c>
      <c r="EN71" t="e">
        <f>AND(#REF!,"AAAAAH4d/48=")</f>
        <v>#REF!</v>
      </c>
      <c r="EO71" t="e">
        <f>AND(#REF!,"AAAAAH4d/5A=")</f>
        <v>#REF!</v>
      </c>
      <c r="EP71" t="e">
        <f>AND(#REF!,"AAAAAH4d/5E=")</f>
        <v>#REF!</v>
      </c>
      <c r="EQ71" t="e">
        <f>AND(#REF!,"AAAAAH4d/5I=")</f>
        <v>#REF!</v>
      </c>
      <c r="ER71" t="e">
        <f>AND(#REF!,"AAAAAH4d/5M=")</f>
        <v>#REF!</v>
      </c>
      <c r="ES71" t="e">
        <f>AND(#REF!,"AAAAAH4d/5Q=")</f>
        <v>#REF!</v>
      </c>
      <c r="ET71" t="e">
        <f>AND(#REF!,"AAAAAH4d/5U=")</f>
        <v>#REF!</v>
      </c>
      <c r="EU71" t="e">
        <f>AND(#REF!,"AAAAAH4d/5Y=")</f>
        <v>#REF!</v>
      </c>
      <c r="EV71" t="e">
        <f>AND(#REF!,"AAAAAH4d/5c=")</f>
        <v>#REF!</v>
      </c>
      <c r="EW71" t="e">
        <f>AND(#REF!,"AAAAAH4d/5g=")</f>
        <v>#REF!</v>
      </c>
      <c r="EX71" t="e">
        <f>AND(#REF!,"AAAAAH4d/5k=")</f>
        <v>#REF!</v>
      </c>
      <c r="EY71" t="e">
        <f>AND(#REF!,"AAAAAH4d/5o=")</f>
        <v>#REF!</v>
      </c>
      <c r="EZ71" t="e">
        <f>AND(#REF!,"AAAAAH4d/5s=")</f>
        <v>#REF!</v>
      </c>
      <c r="FA71" t="e">
        <f>AND(#REF!,"AAAAAH4d/5w=")</f>
        <v>#REF!</v>
      </c>
      <c r="FB71" t="e">
        <f>AND(#REF!,"AAAAAH4d/50=")</f>
        <v>#REF!</v>
      </c>
      <c r="FC71" t="e">
        <f>IF(#REF!,"AAAAAH4d/54=",0)</f>
        <v>#REF!</v>
      </c>
      <c r="FD71" t="e">
        <f>AND(#REF!,"AAAAAH4d/58=")</f>
        <v>#REF!</v>
      </c>
      <c r="FE71" t="e">
        <f>AND(#REF!,"AAAAAH4d/6A=")</f>
        <v>#REF!</v>
      </c>
      <c r="FF71" t="e">
        <f>AND(#REF!,"AAAAAH4d/6E=")</f>
        <v>#REF!</v>
      </c>
      <c r="FG71" t="e">
        <f>AND(#REF!,"AAAAAH4d/6I=")</f>
        <v>#REF!</v>
      </c>
      <c r="FH71" t="e">
        <f>AND(#REF!,"AAAAAH4d/6M=")</f>
        <v>#REF!</v>
      </c>
      <c r="FI71" t="e">
        <f>AND(#REF!,"AAAAAH4d/6Q=")</f>
        <v>#REF!</v>
      </c>
      <c r="FJ71" t="e">
        <f>AND(#REF!,"AAAAAH4d/6U=")</f>
        <v>#REF!</v>
      </c>
      <c r="FK71" t="e">
        <f>AND(#REF!,"AAAAAH4d/6Y=")</f>
        <v>#REF!</v>
      </c>
      <c r="FL71" t="e">
        <f>AND(#REF!,"AAAAAH4d/6c=")</f>
        <v>#REF!</v>
      </c>
      <c r="FM71" t="e">
        <f>AND(#REF!,"AAAAAH4d/6g=")</f>
        <v>#REF!</v>
      </c>
      <c r="FN71" t="e">
        <f>AND(#REF!,"AAAAAH4d/6k=")</f>
        <v>#REF!</v>
      </c>
      <c r="FO71" t="e">
        <f>AND(#REF!,"AAAAAH4d/6o=")</f>
        <v>#REF!</v>
      </c>
      <c r="FP71" t="e">
        <f>AND(#REF!,"AAAAAH4d/6s=")</f>
        <v>#REF!</v>
      </c>
      <c r="FQ71" t="e">
        <f>AND(#REF!,"AAAAAH4d/6w=")</f>
        <v>#REF!</v>
      </c>
      <c r="FR71" t="e">
        <f>AND(#REF!,"AAAAAH4d/60=")</f>
        <v>#REF!</v>
      </c>
      <c r="FS71" t="e">
        <f>AND(#REF!,"AAAAAH4d/64=")</f>
        <v>#REF!</v>
      </c>
      <c r="FT71" t="e">
        <f>AND(#REF!,"AAAAAH4d/68=")</f>
        <v>#REF!</v>
      </c>
      <c r="FU71" t="e">
        <f>AND(#REF!,"AAAAAH4d/7A=")</f>
        <v>#REF!</v>
      </c>
      <c r="FV71" t="e">
        <f>AND(#REF!,"AAAAAH4d/7E=")</f>
        <v>#REF!</v>
      </c>
      <c r="FW71" t="e">
        <f>AND(#REF!,"AAAAAH4d/7I=")</f>
        <v>#REF!</v>
      </c>
      <c r="FX71" t="e">
        <f>AND(#REF!,"AAAAAH4d/7M=")</f>
        <v>#REF!</v>
      </c>
      <c r="FY71" t="e">
        <f>AND(#REF!,"AAAAAH4d/7Q=")</f>
        <v>#REF!</v>
      </c>
      <c r="FZ71" t="e">
        <f>AND(#REF!,"AAAAAH4d/7U=")</f>
        <v>#REF!</v>
      </c>
      <c r="GA71" t="e">
        <f>AND(#REF!,"AAAAAH4d/7Y=")</f>
        <v>#REF!</v>
      </c>
      <c r="GB71" t="e">
        <f>AND(#REF!,"AAAAAH4d/7c=")</f>
        <v>#REF!</v>
      </c>
      <c r="GC71" t="e">
        <f>AND(#REF!,"AAAAAH4d/7g=")</f>
        <v>#REF!</v>
      </c>
      <c r="GD71" t="e">
        <f>AND(#REF!,"AAAAAH4d/7k=")</f>
        <v>#REF!</v>
      </c>
      <c r="GE71" t="e">
        <f>AND(#REF!,"AAAAAH4d/7o=")</f>
        <v>#REF!</v>
      </c>
      <c r="GF71" t="e">
        <f>AND(#REF!,"AAAAAH4d/7s=")</f>
        <v>#REF!</v>
      </c>
      <c r="GG71" t="e">
        <f>AND(#REF!,"AAAAAH4d/7w=")</f>
        <v>#REF!</v>
      </c>
      <c r="GH71" t="e">
        <f>AND(#REF!,"AAAAAH4d/70=")</f>
        <v>#REF!</v>
      </c>
      <c r="GI71" t="e">
        <f>AND(#REF!,"AAAAAH4d/74=")</f>
        <v>#REF!</v>
      </c>
      <c r="GJ71" t="e">
        <f>IF(#REF!,"AAAAAH4d/78=",0)</f>
        <v>#REF!</v>
      </c>
      <c r="GK71" t="e">
        <f>AND(#REF!,"AAAAAH4d/8A=")</f>
        <v>#REF!</v>
      </c>
      <c r="GL71" t="e">
        <f>AND(#REF!,"AAAAAH4d/8E=")</f>
        <v>#REF!</v>
      </c>
      <c r="GM71" t="e">
        <f>AND(#REF!,"AAAAAH4d/8I=")</f>
        <v>#REF!</v>
      </c>
      <c r="GN71" t="e">
        <f>AND(#REF!,"AAAAAH4d/8M=")</f>
        <v>#REF!</v>
      </c>
      <c r="GO71" t="e">
        <f>AND(#REF!,"AAAAAH4d/8Q=")</f>
        <v>#REF!</v>
      </c>
      <c r="GP71" t="e">
        <f>AND(#REF!,"AAAAAH4d/8U=")</f>
        <v>#REF!</v>
      </c>
      <c r="GQ71" t="e">
        <f>AND(#REF!,"AAAAAH4d/8Y=")</f>
        <v>#REF!</v>
      </c>
      <c r="GR71" t="e">
        <f>AND(#REF!,"AAAAAH4d/8c=")</f>
        <v>#REF!</v>
      </c>
      <c r="GS71" t="e">
        <f>AND(#REF!,"AAAAAH4d/8g=")</f>
        <v>#REF!</v>
      </c>
      <c r="GT71" t="e">
        <f>AND(#REF!,"AAAAAH4d/8k=")</f>
        <v>#REF!</v>
      </c>
      <c r="GU71" t="e">
        <f>AND(#REF!,"AAAAAH4d/8o=")</f>
        <v>#REF!</v>
      </c>
      <c r="GV71" t="e">
        <f>AND(#REF!,"AAAAAH4d/8s=")</f>
        <v>#REF!</v>
      </c>
      <c r="GW71" t="e">
        <f>AND(#REF!,"AAAAAH4d/8w=")</f>
        <v>#REF!</v>
      </c>
      <c r="GX71" t="e">
        <f>AND(#REF!,"AAAAAH4d/80=")</f>
        <v>#REF!</v>
      </c>
      <c r="GY71" t="e">
        <f>AND(#REF!,"AAAAAH4d/84=")</f>
        <v>#REF!</v>
      </c>
      <c r="GZ71" t="e">
        <f>AND(#REF!,"AAAAAH4d/88=")</f>
        <v>#REF!</v>
      </c>
      <c r="HA71" t="e">
        <f>AND(#REF!,"AAAAAH4d/9A=")</f>
        <v>#REF!</v>
      </c>
      <c r="HB71" t="e">
        <f>AND(#REF!,"AAAAAH4d/9E=")</f>
        <v>#REF!</v>
      </c>
      <c r="HC71" t="e">
        <f>AND(#REF!,"AAAAAH4d/9I=")</f>
        <v>#REF!</v>
      </c>
      <c r="HD71" t="e">
        <f>AND(#REF!,"AAAAAH4d/9M=")</f>
        <v>#REF!</v>
      </c>
      <c r="HE71" t="e">
        <f>AND(#REF!,"AAAAAH4d/9Q=")</f>
        <v>#REF!</v>
      </c>
      <c r="HF71" t="e">
        <f>AND(#REF!,"AAAAAH4d/9U=")</f>
        <v>#REF!</v>
      </c>
      <c r="HG71" t="e">
        <f>AND(#REF!,"AAAAAH4d/9Y=")</f>
        <v>#REF!</v>
      </c>
      <c r="HH71" t="e">
        <f>AND(#REF!,"AAAAAH4d/9c=")</f>
        <v>#REF!</v>
      </c>
      <c r="HI71" t="e">
        <f>AND(#REF!,"AAAAAH4d/9g=")</f>
        <v>#REF!</v>
      </c>
      <c r="HJ71" t="e">
        <f>AND(#REF!,"AAAAAH4d/9k=")</f>
        <v>#REF!</v>
      </c>
      <c r="HK71" t="e">
        <f>AND(#REF!,"AAAAAH4d/9o=")</f>
        <v>#REF!</v>
      </c>
      <c r="HL71" t="e">
        <f>AND(#REF!,"AAAAAH4d/9s=")</f>
        <v>#REF!</v>
      </c>
      <c r="HM71" t="e">
        <f>AND(#REF!,"AAAAAH4d/9w=")</f>
        <v>#REF!</v>
      </c>
      <c r="HN71" t="e">
        <f>AND(#REF!,"AAAAAH4d/90=")</f>
        <v>#REF!</v>
      </c>
      <c r="HO71" t="e">
        <f>AND(#REF!,"AAAAAH4d/94=")</f>
        <v>#REF!</v>
      </c>
      <c r="HP71" t="e">
        <f>AND(#REF!,"AAAAAH4d/98=")</f>
        <v>#REF!</v>
      </c>
      <c r="HQ71" t="e">
        <f>IF(#REF!,"AAAAAH4d/+A=",0)</f>
        <v>#REF!</v>
      </c>
      <c r="HR71" t="e">
        <f>AND(#REF!,"AAAAAH4d/+E=")</f>
        <v>#REF!</v>
      </c>
      <c r="HS71" t="e">
        <f>AND(#REF!,"AAAAAH4d/+I=")</f>
        <v>#REF!</v>
      </c>
      <c r="HT71" t="e">
        <f>AND(#REF!,"AAAAAH4d/+M=")</f>
        <v>#REF!</v>
      </c>
      <c r="HU71" t="e">
        <f>AND(#REF!,"AAAAAH4d/+Q=")</f>
        <v>#REF!</v>
      </c>
      <c r="HV71" t="e">
        <f>AND(#REF!,"AAAAAH4d/+U=")</f>
        <v>#REF!</v>
      </c>
      <c r="HW71" t="e">
        <f>AND(#REF!,"AAAAAH4d/+Y=")</f>
        <v>#REF!</v>
      </c>
      <c r="HX71" t="e">
        <f>AND(#REF!,"AAAAAH4d/+c=")</f>
        <v>#REF!</v>
      </c>
      <c r="HY71" t="e">
        <f>AND(#REF!,"AAAAAH4d/+g=")</f>
        <v>#REF!</v>
      </c>
      <c r="HZ71" t="e">
        <f>AND(#REF!,"AAAAAH4d/+k=")</f>
        <v>#REF!</v>
      </c>
      <c r="IA71" t="e">
        <f>AND(#REF!,"AAAAAH4d/+o=")</f>
        <v>#REF!</v>
      </c>
      <c r="IB71" t="e">
        <f>AND(#REF!,"AAAAAH4d/+s=")</f>
        <v>#REF!</v>
      </c>
      <c r="IC71" t="e">
        <f>AND(#REF!,"AAAAAH4d/+w=")</f>
        <v>#REF!</v>
      </c>
      <c r="ID71" t="e">
        <f>AND(#REF!,"AAAAAH4d/+0=")</f>
        <v>#REF!</v>
      </c>
      <c r="IE71" t="e">
        <f>AND(#REF!,"AAAAAH4d/+4=")</f>
        <v>#REF!</v>
      </c>
      <c r="IF71" t="e">
        <f>AND(#REF!,"AAAAAH4d/+8=")</f>
        <v>#REF!</v>
      </c>
      <c r="IG71" t="e">
        <f>AND(#REF!,"AAAAAH4d//A=")</f>
        <v>#REF!</v>
      </c>
      <c r="IH71" t="e">
        <f>AND(#REF!,"AAAAAH4d//E=")</f>
        <v>#REF!</v>
      </c>
      <c r="II71" t="e">
        <f>AND(#REF!,"AAAAAH4d//I=")</f>
        <v>#REF!</v>
      </c>
      <c r="IJ71" t="e">
        <f>AND(#REF!,"AAAAAH4d//M=")</f>
        <v>#REF!</v>
      </c>
      <c r="IK71" t="e">
        <f>AND(#REF!,"AAAAAH4d//Q=")</f>
        <v>#REF!</v>
      </c>
      <c r="IL71" t="e">
        <f>AND(#REF!,"AAAAAH4d//U=")</f>
        <v>#REF!</v>
      </c>
      <c r="IM71" t="e">
        <f>AND(#REF!,"AAAAAH4d//Y=")</f>
        <v>#REF!</v>
      </c>
      <c r="IN71" t="e">
        <f>AND(#REF!,"AAAAAH4d//c=")</f>
        <v>#REF!</v>
      </c>
      <c r="IO71" t="e">
        <f>AND(#REF!,"AAAAAH4d//g=")</f>
        <v>#REF!</v>
      </c>
      <c r="IP71" t="e">
        <f>AND(#REF!,"AAAAAH4d//k=")</f>
        <v>#REF!</v>
      </c>
      <c r="IQ71" t="e">
        <f>AND(#REF!,"AAAAAH4d//o=")</f>
        <v>#REF!</v>
      </c>
      <c r="IR71" t="e">
        <f>AND(#REF!,"AAAAAH4d//s=")</f>
        <v>#REF!</v>
      </c>
      <c r="IS71" t="e">
        <f>AND(#REF!,"AAAAAH4d//w=")</f>
        <v>#REF!</v>
      </c>
      <c r="IT71" t="e">
        <f>AND(#REF!,"AAAAAH4d//0=")</f>
        <v>#REF!</v>
      </c>
      <c r="IU71" t="e">
        <f>AND(#REF!,"AAAAAH4d//4=")</f>
        <v>#REF!</v>
      </c>
      <c r="IV71" t="e">
        <f>AND(#REF!,"AAAAAH4d//8=")</f>
        <v>#REF!</v>
      </c>
    </row>
    <row r="72" spans="1:256" x14ac:dyDescent="0.25">
      <c r="A72" t="e">
        <f>AND(#REF!,"AAAAAHv5HAA=")</f>
        <v>#REF!</v>
      </c>
      <c r="B72" t="e">
        <f>IF(#REF!,"AAAAAHv5HAE=",0)</f>
        <v>#REF!</v>
      </c>
      <c r="C72" t="e">
        <f>AND(#REF!,"AAAAAHv5HAI=")</f>
        <v>#REF!</v>
      </c>
      <c r="D72" t="e">
        <f>AND(#REF!,"AAAAAHv5HAM=")</f>
        <v>#REF!</v>
      </c>
      <c r="E72" t="e">
        <f>AND(#REF!,"AAAAAHv5HAQ=")</f>
        <v>#REF!</v>
      </c>
      <c r="F72" t="e">
        <f>AND(#REF!,"AAAAAHv5HAU=")</f>
        <v>#REF!</v>
      </c>
      <c r="G72" t="e">
        <f>AND(#REF!,"AAAAAHv5HAY=")</f>
        <v>#REF!</v>
      </c>
      <c r="H72" t="e">
        <f>AND(#REF!,"AAAAAHv5HAc=")</f>
        <v>#REF!</v>
      </c>
      <c r="I72" t="e">
        <f>AND(#REF!,"AAAAAHv5HAg=")</f>
        <v>#REF!</v>
      </c>
      <c r="J72" t="e">
        <f>AND(#REF!,"AAAAAHv5HAk=")</f>
        <v>#REF!</v>
      </c>
      <c r="K72" t="e">
        <f>AND(#REF!,"AAAAAHv5HAo=")</f>
        <v>#REF!</v>
      </c>
      <c r="L72" t="e">
        <f>AND(#REF!,"AAAAAHv5HAs=")</f>
        <v>#REF!</v>
      </c>
      <c r="M72" t="e">
        <f>AND(#REF!,"AAAAAHv5HAw=")</f>
        <v>#REF!</v>
      </c>
      <c r="N72" t="e">
        <f>AND(#REF!,"AAAAAHv5HA0=")</f>
        <v>#REF!</v>
      </c>
      <c r="O72" t="e">
        <f>AND(#REF!,"AAAAAHv5HA4=")</f>
        <v>#REF!</v>
      </c>
      <c r="P72" t="e">
        <f>AND(#REF!,"AAAAAHv5HA8=")</f>
        <v>#REF!</v>
      </c>
      <c r="Q72" t="e">
        <f>AND(#REF!,"AAAAAHv5HBA=")</f>
        <v>#REF!</v>
      </c>
      <c r="R72" t="e">
        <f>AND(#REF!,"AAAAAHv5HBE=")</f>
        <v>#REF!</v>
      </c>
      <c r="S72" t="e">
        <f>AND(#REF!,"AAAAAHv5HBI=")</f>
        <v>#REF!</v>
      </c>
      <c r="T72" t="e">
        <f>AND(#REF!,"AAAAAHv5HBM=")</f>
        <v>#REF!</v>
      </c>
      <c r="U72" t="e">
        <f>AND(#REF!,"AAAAAHv5HBQ=")</f>
        <v>#REF!</v>
      </c>
      <c r="V72" t="e">
        <f>AND(#REF!,"AAAAAHv5HBU=")</f>
        <v>#REF!</v>
      </c>
      <c r="W72" t="e">
        <f>AND(#REF!,"AAAAAHv5HBY=")</f>
        <v>#REF!</v>
      </c>
      <c r="X72" t="e">
        <f>AND(#REF!,"AAAAAHv5HBc=")</f>
        <v>#REF!</v>
      </c>
      <c r="Y72" t="e">
        <f>AND(#REF!,"AAAAAHv5HBg=")</f>
        <v>#REF!</v>
      </c>
      <c r="Z72" t="e">
        <f>AND(#REF!,"AAAAAHv5HBk=")</f>
        <v>#REF!</v>
      </c>
      <c r="AA72" t="e">
        <f>AND(#REF!,"AAAAAHv5HBo=")</f>
        <v>#REF!</v>
      </c>
      <c r="AB72" t="e">
        <f>AND(#REF!,"AAAAAHv5HBs=")</f>
        <v>#REF!</v>
      </c>
      <c r="AC72" t="e">
        <f>AND(#REF!,"AAAAAHv5HBw=")</f>
        <v>#REF!</v>
      </c>
      <c r="AD72" t="e">
        <f>AND(#REF!,"AAAAAHv5HB0=")</f>
        <v>#REF!</v>
      </c>
      <c r="AE72" t="e">
        <f>AND(#REF!,"AAAAAHv5HB4=")</f>
        <v>#REF!</v>
      </c>
      <c r="AF72" t="e">
        <f>AND(#REF!,"AAAAAHv5HB8=")</f>
        <v>#REF!</v>
      </c>
      <c r="AG72" t="e">
        <f>AND(#REF!,"AAAAAHv5HCA=")</f>
        <v>#REF!</v>
      </c>
      <c r="AH72" t="e">
        <f>AND(#REF!,"AAAAAHv5HCE=")</f>
        <v>#REF!</v>
      </c>
      <c r="AI72" t="e">
        <f>IF(#REF!,"AAAAAHv5HCI=",0)</f>
        <v>#REF!</v>
      </c>
      <c r="AJ72" t="e">
        <f>AND(#REF!,"AAAAAHv5HCM=")</f>
        <v>#REF!</v>
      </c>
      <c r="AK72" t="e">
        <f>AND(#REF!,"AAAAAHv5HCQ=")</f>
        <v>#REF!</v>
      </c>
      <c r="AL72" t="e">
        <f>AND(#REF!,"AAAAAHv5HCU=")</f>
        <v>#REF!</v>
      </c>
      <c r="AM72" t="e">
        <f>AND(#REF!,"AAAAAHv5HCY=")</f>
        <v>#REF!</v>
      </c>
      <c r="AN72" t="e">
        <f>AND(#REF!,"AAAAAHv5HCc=")</f>
        <v>#REF!</v>
      </c>
      <c r="AO72" t="e">
        <f>AND(#REF!,"AAAAAHv5HCg=")</f>
        <v>#REF!</v>
      </c>
      <c r="AP72" t="e">
        <f>AND(#REF!,"AAAAAHv5HCk=")</f>
        <v>#REF!</v>
      </c>
      <c r="AQ72" t="e">
        <f>AND(#REF!,"AAAAAHv5HCo=")</f>
        <v>#REF!</v>
      </c>
      <c r="AR72" t="e">
        <f>AND(#REF!,"AAAAAHv5HCs=")</f>
        <v>#REF!</v>
      </c>
      <c r="AS72" t="e">
        <f>AND(#REF!,"AAAAAHv5HCw=")</f>
        <v>#REF!</v>
      </c>
      <c r="AT72" t="e">
        <f>AND(#REF!,"AAAAAHv5HC0=")</f>
        <v>#REF!</v>
      </c>
      <c r="AU72" t="e">
        <f>AND(#REF!,"AAAAAHv5HC4=")</f>
        <v>#REF!</v>
      </c>
      <c r="AV72" t="e">
        <f>AND(#REF!,"AAAAAHv5HC8=")</f>
        <v>#REF!</v>
      </c>
      <c r="AW72" t="e">
        <f>AND(#REF!,"AAAAAHv5HDA=")</f>
        <v>#REF!</v>
      </c>
      <c r="AX72" t="e">
        <f>AND(#REF!,"AAAAAHv5HDE=")</f>
        <v>#REF!</v>
      </c>
      <c r="AY72" t="e">
        <f>AND(#REF!,"AAAAAHv5HDI=")</f>
        <v>#REF!</v>
      </c>
      <c r="AZ72" t="e">
        <f>AND(#REF!,"AAAAAHv5HDM=")</f>
        <v>#REF!</v>
      </c>
      <c r="BA72" t="e">
        <f>AND(#REF!,"AAAAAHv5HDQ=")</f>
        <v>#REF!</v>
      </c>
      <c r="BB72" t="e">
        <f>AND(#REF!,"AAAAAHv5HDU=")</f>
        <v>#REF!</v>
      </c>
      <c r="BC72" t="e">
        <f>AND(#REF!,"AAAAAHv5HDY=")</f>
        <v>#REF!</v>
      </c>
      <c r="BD72" t="e">
        <f>AND(#REF!,"AAAAAHv5HDc=")</f>
        <v>#REF!</v>
      </c>
      <c r="BE72" t="e">
        <f>AND(#REF!,"AAAAAHv5HDg=")</f>
        <v>#REF!</v>
      </c>
      <c r="BF72" t="e">
        <f>AND(#REF!,"AAAAAHv5HDk=")</f>
        <v>#REF!</v>
      </c>
      <c r="BG72" t="e">
        <f>AND(#REF!,"AAAAAHv5HDo=")</f>
        <v>#REF!</v>
      </c>
      <c r="BH72" t="e">
        <f>AND(#REF!,"AAAAAHv5HDs=")</f>
        <v>#REF!</v>
      </c>
      <c r="BI72" t="e">
        <f>AND(#REF!,"AAAAAHv5HDw=")</f>
        <v>#REF!</v>
      </c>
      <c r="BJ72" t="e">
        <f>AND(#REF!,"AAAAAHv5HD0=")</f>
        <v>#REF!</v>
      </c>
      <c r="BK72" t="e">
        <f>AND(#REF!,"AAAAAHv5HD4=")</f>
        <v>#REF!</v>
      </c>
      <c r="BL72" t="e">
        <f>AND(#REF!,"AAAAAHv5HD8=")</f>
        <v>#REF!</v>
      </c>
      <c r="BM72" t="e">
        <f>AND(#REF!,"AAAAAHv5HEA=")</f>
        <v>#REF!</v>
      </c>
      <c r="BN72" t="e">
        <f>AND(#REF!,"AAAAAHv5HEE=")</f>
        <v>#REF!</v>
      </c>
      <c r="BO72" t="e">
        <f>AND(#REF!,"AAAAAHv5HEI=")</f>
        <v>#REF!</v>
      </c>
      <c r="BP72" t="e">
        <f>IF(#REF!,"AAAAAHv5HEM=",0)</f>
        <v>#REF!</v>
      </c>
      <c r="BQ72" t="e">
        <f>AND(#REF!,"AAAAAHv5HEQ=")</f>
        <v>#REF!</v>
      </c>
      <c r="BR72" t="e">
        <f>AND(#REF!,"AAAAAHv5HEU=")</f>
        <v>#REF!</v>
      </c>
      <c r="BS72" t="e">
        <f>AND(#REF!,"AAAAAHv5HEY=")</f>
        <v>#REF!</v>
      </c>
      <c r="BT72" t="e">
        <f>AND(#REF!,"AAAAAHv5HEc=")</f>
        <v>#REF!</v>
      </c>
      <c r="BU72" t="e">
        <f>AND(#REF!,"AAAAAHv5HEg=")</f>
        <v>#REF!</v>
      </c>
      <c r="BV72" t="e">
        <f>AND(#REF!,"AAAAAHv5HEk=")</f>
        <v>#REF!</v>
      </c>
      <c r="BW72" t="e">
        <f>AND(#REF!,"AAAAAHv5HEo=")</f>
        <v>#REF!</v>
      </c>
      <c r="BX72" t="e">
        <f>AND(#REF!,"AAAAAHv5HEs=")</f>
        <v>#REF!</v>
      </c>
      <c r="BY72" t="e">
        <f>AND(#REF!,"AAAAAHv5HEw=")</f>
        <v>#REF!</v>
      </c>
      <c r="BZ72" t="e">
        <f>AND(#REF!,"AAAAAHv5HE0=")</f>
        <v>#REF!</v>
      </c>
      <c r="CA72" t="e">
        <f>AND(#REF!,"AAAAAHv5HE4=")</f>
        <v>#REF!</v>
      </c>
      <c r="CB72" t="e">
        <f>AND(#REF!,"AAAAAHv5HE8=")</f>
        <v>#REF!</v>
      </c>
      <c r="CC72" t="e">
        <f>AND(#REF!,"AAAAAHv5HFA=")</f>
        <v>#REF!</v>
      </c>
      <c r="CD72" t="e">
        <f>AND(#REF!,"AAAAAHv5HFE=")</f>
        <v>#REF!</v>
      </c>
      <c r="CE72" t="e">
        <f>AND(#REF!,"AAAAAHv5HFI=")</f>
        <v>#REF!</v>
      </c>
      <c r="CF72" t="e">
        <f>AND(#REF!,"AAAAAHv5HFM=")</f>
        <v>#REF!</v>
      </c>
      <c r="CG72" t="e">
        <f>AND(#REF!,"AAAAAHv5HFQ=")</f>
        <v>#REF!</v>
      </c>
      <c r="CH72" t="e">
        <f>AND(#REF!,"AAAAAHv5HFU=")</f>
        <v>#REF!</v>
      </c>
      <c r="CI72" t="e">
        <f>AND(#REF!,"AAAAAHv5HFY=")</f>
        <v>#REF!</v>
      </c>
      <c r="CJ72" t="e">
        <f>AND(#REF!,"AAAAAHv5HFc=")</f>
        <v>#REF!</v>
      </c>
      <c r="CK72" t="e">
        <f>AND(#REF!,"AAAAAHv5HFg=")</f>
        <v>#REF!</v>
      </c>
      <c r="CL72" t="e">
        <f>AND(#REF!,"AAAAAHv5HFk=")</f>
        <v>#REF!</v>
      </c>
      <c r="CM72" t="e">
        <f>AND(#REF!,"AAAAAHv5HFo=")</f>
        <v>#REF!</v>
      </c>
      <c r="CN72" t="e">
        <f>AND(#REF!,"AAAAAHv5HFs=")</f>
        <v>#REF!</v>
      </c>
      <c r="CO72" t="e">
        <f>AND(#REF!,"AAAAAHv5HFw=")</f>
        <v>#REF!</v>
      </c>
      <c r="CP72" t="e">
        <f>AND(#REF!,"AAAAAHv5HF0=")</f>
        <v>#REF!</v>
      </c>
      <c r="CQ72" t="e">
        <f>AND(#REF!,"AAAAAHv5HF4=")</f>
        <v>#REF!</v>
      </c>
      <c r="CR72" t="e">
        <f>AND(#REF!,"AAAAAHv5HF8=")</f>
        <v>#REF!</v>
      </c>
      <c r="CS72" t="e">
        <f>AND(#REF!,"AAAAAHv5HGA=")</f>
        <v>#REF!</v>
      </c>
      <c r="CT72" t="e">
        <f>AND(#REF!,"AAAAAHv5HGE=")</f>
        <v>#REF!</v>
      </c>
      <c r="CU72" t="e">
        <f>AND(#REF!,"AAAAAHv5HGI=")</f>
        <v>#REF!</v>
      </c>
      <c r="CV72" t="e">
        <f>AND(#REF!,"AAAAAHv5HGM=")</f>
        <v>#REF!</v>
      </c>
      <c r="CW72" t="e">
        <f>IF(#REF!,"AAAAAHv5HGQ=",0)</f>
        <v>#REF!</v>
      </c>
      <c r="CX72" t="e">
        <f>AND(#REF!,"AAAAAHv5HGU=")</f>
        <v>#REF!</v>
      </c>
      <c r="CY72" t="e">
        <f>AND(#REF!,"AAAAAHv5HGY=")</f>
        <v>#REF!</v>
      </c>
      <c r="CZ72" t="e">
        <f>AND(#REF!,"AAAAAHv5HGc=")</f>
        <v>#REF!</v>
      </c>
      <c r="DA72" t="e">
        <f>AND(#REF!,"AAAAAHv5HGg=")</f>
        <v>#REF!</v>
      </c>
      <c r="DB72" t="e">
        <f>AND(#REF!,"AAAAAHv5HGk=")</f>
        <v>#REF!</v>
      </c>
      <c r="DC72" t="e">
        <f>AND(#REF!,"AAAAAHv5HGo=")</f>
        <v>#REF!</v>
      </c>
      <c r="DD72" t="e">
        <f>AND(#REF!,"AAAAAHv5HGs=")</f>
        <v>#REF!</v>
      </c>
      <c r="DE72" t="e">
        <f>AND(#REF!,"AAAAAHv5HGw=")</f>
        <v>#REF!</v>
      </c>
      <c r="DF72" t="e">
        <f>AND(#REF!,"AAAAAHv5HG0=")</f>
        <v>#REF!</v>
      </c>
      <c r="DG72" t="e">
        <f>AND(#REF!,"AAAAAHv5HG4=")</f>
        <v>#REF!</v>
      </c>
      <c r="DH72" t="e">
        <f>AND(#REF!,"AAAAAHv5HG8=")</f>
        <v>#REF!</v>
      </c>
      <c r="DI72" t="e">
        <f>AND(#REF!,"AAAAAHv5HHA=")</f>
        <v>#REF!</v>
      </c>
      <c r="DJ72" t="e">
        <f>AND(#REF!,"AAAAAHv5HHE=")</f>
        <v>#REF!</v>
      </c>
      <c r="DK72" t="e">
        <f>AND(#REF!,"AAAAAHv5HHI=")</f>
        <v>#REF!</v>
      </c>
      <c r="DL72" t="e">
        <f>AND(#REF!,"AAAAAHv5HHM=")</f>
        <v>#REF!</v>
      </c>
      <c r="DM72" t="e">
        <f>AND(#REF!,"AAAAAHv5HHQ=")</f>
        <v>#REF!</v>
      </c>
      <c r="DN72" t="e">
        <f>AND(#REF!,"AAAAAHv5HHU=")</f>
        <v>#REF!</v>
      </c>
      <c r="DO72" t="e">
        <f>AND(#REF!,"AAAAAHv5HHY=")</f>
        <v>#REF!</v>
      </c>
      <c r="DP72" t="e">
        <f>AND(#REF!,"AAAAAHv5HHc=")</f>
        <v>#REF!</v>
      </c>
      <c r="DQ72" t="e">
        <f>AND(#REF!,"AAAAAHv5HHg=")</f>
        <v>#REF!</v>
      </c>
      <c r="DR72" t="e">
        <f>AND(#REF!,"AAAAAHv5HHk=")</f>
        <v>#REF!</v>
      </c>
      <c r="DS72" t="e">
        <f>AND(#REF!,"AAAAAHv5HHo=")</f>
        <v>#REF!</v>
      </c>
      <c r="DT72" t="e">
        <f>AND(#REF!,"AAAAAHv5HHs=")</f>
        <v>#REF!</v>
      </c>
      <c r="DU72" t="e">
        <f>AND(#REF!,"AAAAAHv5HHw=")</f>
        <v>#REF!</v>
      </c>
      <c r="DV72" t="e">
        <f>AND(#REF!,"AAAAAHv5HH0=")</f>
        <v>#REF!</v>
      </c>
      <c r="DW72" t="e">
        <f>AND(#REF!,"AAAAAHv5HH4=")</f>
        <v>#REF!</v>
      </c>
      <c r="DX72" t="e">
        <f>AND(#REF!,"AAAAAHv5HH8=")</f>
        <v>#REF!</v>
      </c>
      <c r="DY72" t="e">
        <f>AND(#REF!,"AAAAAHv5HIA=")</f>
        <v>#REF!</v>
      </c>
      <c r="DZ72" t="e">
        <f>AND(#REF!,"AAAAAHv5HIE=")</f>
        <v>#REF!</v>
      </c>
      <c r="EA72" t="e">
        <f>AND(#REF!,"AAAAAHv5HII=")</f>
        <v>#REF!</v>
      </c>
      <c r="EB72" t="e">
        <f>AND(#REF!,"AAAAAHv5HIM=")</f>
        <v>#REF!</v>
      </c>
      <c r="EC72" t="e">
        <f>AND(#REF!,"AAAAAHv5HIQ=")</f>
        <v>#REF!</v>
      </c>
      <c r="ED72" t="e">
        <f>IF(#REF!,"AAAAAHv5HIU=",0)</f>
        <v>#REF!</v>
      </c>
      <c r="EE72" t="e">
        <f>AND(#REF!,"AAAAAHv5HIY=")</f>
        <v>#REF!</v>
      </c>
      <c r="EF72" t="e">
        <f>AND(#REF!,"AAAAAHv5HIc=")</f>
        <v>#REF!</v>
      </c>
      <c r="EG72" t="e">
        <f>AND(#REF!,"AAAAAHv5HIg=")</f>
        <v>#REF!</v>
      </c>
      <c r="EH72" t="e">
        <f>AND(#REF!,"AAAAAHv5HIk=")</f>
        <v>#REF!</v>
      </c>
      <c r="EI72" t="e">
        <f>AND(#REF!,"AAAAAHv5HIo=")</f>
        <v>#REF!</v>
      </c>
      <c r="EJ72" t="e">
        <f>AND(#REF!,"AAAAAHv5HIs=")</f>
        <v>#REF!</v>
      </c>
      <c r="EK72" t="e">
        <f>AND(#REF!,"AAAAAHv5HIw=")</f>
        <v>#REF!</v>
      </c>
      <c r="EL72" t="e">
        <f>AND(#REF!,"AAAAAHv5HI0=")</f>
        <v>#REF!</v>
      </c>
      <c r="EM72" t="e">
        <f>AND(#REF!,"AAAAAHv5HI4=")</f>
        <v>#REF!</v>
      </c>
      <c r="EN72" t="e">
        <f>AND(#REF!,"AAAAAHv5HI8=")</f>
        <v>#REF!</v>
      </c>
      <c r="EO72" t="e">
        <f>AND(#REF!,"AAAAAHv5HJA=")</f>
        <v>#REF!</v>
      </c>
      <c r="EP72" t="e">
        <f>AND(#REF!,"AAAAAHv5HJE=")</f>
        <v>#REF!</v>
      </c>
      <c r="EQ72" t="e">
        <f>AND(#REF!,"AAAAAHv5HJI=")</f>
        <v>#REF!</v>
      </c>
      <c r="ER72" t="e">
        <f>AND(#REF!,"AAAAAHv5HJM=")</f>
        <v>#REF!</v>
      </c>
      <c r="ES72" t="e">
        <f>AND(#REF!,"AAAAAHv5HJQ=")</f>
        <v>#REF!</v>
      </c>
      <c r="ET72" t="e">
        <f>AND(#REF!,"AAAAAHv5HJU=")</f>
        <v>#REF!</v>
      </c>
      <c r="EU72" t="e">
        <f>AND(#REF!,"AAAAAHv5HJY=")</f>
        <v>#REF!</v>
      </c>
      <c r="EV72" t="e">
        <f>AND(#REF!,"AAAAAHv5HJc=")</f>
        <v>#REF!</v>
      </c>
      <c r="EW72" t="e">
        <f>AND(#REF!,"AAAAAHv5HJg=")</f>
        <v>#REF!</v>
      </c>
      <c r="EX72" t="e">
        <f>AND(#REF!,"AAAAAHv5HJk=")</f>
        <v>#REF!</v>
      </c>
      <c r="EY72" t="e">
        <f>AND(#REF!,"AAAAAHv5HJo=")</f>
        <v>#REF!</v>
      </c>
      <c r="EZ72" t="e">
        <f>AND(#REF!,"AAAAAHv5HJs=")</f>
        <v>#REF!</v>
      </c>
      <c r="FA72" t="e">
        <f>AND(#REF!,"AAAAAHv5HJw=")</f>
        <v>#REF!</v>
      </c>
      <c r="FB72" t="e">
        <f>AND(#REF!,"AAAAAHv5HJ0=")</f>
        <v>#REF!</v>
      </c>
      <c r="FC72" t="e">
        <f>AND(#REF!,"AAAAAHv5HJ4=")</f>
        <v>#REF!</v>
      </c>
      <c r="FD72" t="e">
        <f>AND(#REF!,"AAAAAHv5HJ8=")</f>
        <v>#REF!</v>
      </c>
      <c r="FE72" t="e">
        <f>AND(#REF!,"AAAAAHv5HKA=")</f>
        <v>#REF!</v>
      </c>
      <c r="FF72" t="e">
        <f>AND(#REF!,"AAAAAHv5HKE=")</f>
        <v>#REF!</v>
      </c>
      <c r="FG72" t="e">
        <f>AND(#REF!,"AAAAAHv5HKI=")</f>
        <v>#REF!</v>
      </c>
      <c r="FH72" t="e">
        <f>AND(#REF!,"AAAAAHv5HKM=")</f>
        <v>#REF!</v>
      </c>
      <c r="FI72" t="e">
        <f>AND(#REF!,"AAAAAHv5HKQ=")</f>
        <v>#REF!</v>
      </c>
      <c r="FJ72" t="e">
        <f>AND(#REF!,"AAAAAHv5HKU=")</f>
        <v>#REF!</v>
      </c>
      <c r="FK72" t="e">
        <f>IF(#REF!,"AAAAAHv5HKY=",0)</f>
        <v>#REF!</v>
      </c>
      <c r="FL72" t="e">
        <f>AND(#REF!,"AAAAAHv5HKc=")</f>
        <v>#REF!</v>
      </c>
      <c r="FM72" t="e">
        <f>AND(#REF!,"AAAAAHv5HKg=")</f>
        <v>#REF!</v>
      </c>
      <c r="FN72" t="e">
        <f>AND(#REF!,"AAAAAHv5HKk=")</f>
        <v>#REF!</v>
      </c>
      <c r="FO72" t="e">
        <f>AND(#REF!,"AAAAAHv5HKo=")</f>
        <v>#REF!</v>
      </c>
      <c r="FP72" t="e">
        <f>AND(#REF!,"AAAAAHv5HKs=")</f>
        <v>#REF!</v>
      </c>
      <c r="FQ72" t="e">
        <f>AND(#REF!,"AAAAAHv5HKw=")</f>
        <v>#REF!</v>
      </c>
      <c r="FR72" t="e">
        <f>AND(#REF!,"AAAAAHv5HK0=")</f>
        <v>#REF!</v>
      </c>
      <c r="FS72" t="e">
        <f>AND(#REF!,"AAAAAHv5HK4=")</f>
        <v>#REF!</v>
      </c>
      <c r="FT72" t="e">
        <f>AND(#REF!,"AAAAAHv5HK8=")</f>
        <v>#REF!</v>
      </c>
      <c r="FU72" t="e">
        <f>AND(#REF!,"AAAAAHv5HLA=")</f>
        <v>#REF!</v>
      </c>
      <c r="FV72" t="e">
        <f>AND(#REF!,"AAAAAHv5HLE=")</f>
        <v>#REF!</v>
      </c>
      <c r="FW72" t="e">
        <f>AND(#REF!,"AAAAAHv5HLI=")</f>
        <v>#REF!</v>
      </c>
      <c r="FX72" t="e">
        <f>AND(#REF!,"AAAAAHv5HLM=")</f>
        <v>#REF!</v>
      </c>
      <c r="FY72" t="e">
        <f>AND(#REF!,"AAAAAHv5HLQ=")</f>
        <v>#REF!</v>
      </c>
      <c r="FZ72" t="e">
        <f>AND(#REF!,"AAAAAHv5HLU=")</f>
        <v>#REF!</v>
      </c>
      <c r="GA72" t="e">
        <f>AND(#REF!,"AAAAAHv5HLY=")</f>
        <v>#REF!</v>
      </c>
      <c r="GB72" t="e">
        <f>AND(#REF!,"AAAAAHv5HLc=")</f>
        <v>#REF!</v>
      </c>
      <c r="GC72" t="e">
        <f>AND(#REF!,"AAAAAHv5HLg=")</f>
        <v>#REF!</v>
      </c>
      <c r="GD72" t="e">
        <f>AND(#REF!,"AAAAAHv5HLk=")</f>
        <v>#REF!</v>
      </c>
      <c r="GE72" t="e">
        <f>AND(#REF!,"AAAAAHv5HLo=")</f>
        <v>#REF!</v>
      </c>
      <c r="GF72" t="e">
        <f>AND(#REF!,"AAAAAHv5HLs=")</f>
        <v>#REF!</v>
      </c>
      <c r="GG72" t="e">
        <f>AND(#REF!,"AAAAAHv5HLw=")</f>
        <v>#REF!</v>
      </c>
      <c r="GH72" t="e">
        <f>AND(#REF!,"AAAAAHv5HL0=")</f>
        <v>#REF!</v>
      </c>
      <c r="GI72" t="e">
        <f>AND(#REF!,"AAAAAHv5HL4=")</f>
        <v>#REF!</v>
      </c>
      <c r="GJ72" t="e">
        <f>AND(#REF!,"AAAAAHv5HL8=")</f>
        <v>#REF!</v>
      </c>
      <c r="GK72" t="e">
        <f>AND(#REF!,"AAAAAHv5HMA=")</f>
        <v>#REF!</v>
      </c>
      <c r="GL72" t="e">
        <f>AND(#REF!,"AAAAAHv5HME=")</f>
        <v>#REF!</v>
      </c>
      <c r="GM72" t="e">
        <f>AND(#REF!,"AAAAAHv5HMI=")</f>
        <v>#REF!</v>
      </c>
      <c r="GN72" t="e">
        <f>AND(#REF!,"AAAAAHv5HMM=")</f>
        <v>#REF!</v>
      </c>
      <c r="GO72" t="e">
        <f>AND(#REF!,"AAAAAHv5HMQ=")</f>
        <v>#REF!</v>
      </c>
      <c r="GP72" t="e">
        <f>AND(#REF!,"AAAAAHv5HMU=")</f>
        <v>#REF!</v>
      </c>
      <c r="GQ72" t="e">
        <f>AND(#REF!,"AAAAAHv5HMY=")</f>
        <v>#REF!</v>
      </c>
      <c r="GR72" t="e">
        <f>IF(#REF!,"AAAAAHv5HMc=",0)</f>
        <v>#REF!</v>
      </c>
      <c r="GS72" t="e">
        <f>AND(#REF!,"AAAAAHv5HMg=")</f>
        <v>#REF!</v>
      </c>
      <c r="GT72" t="e">
        <f>AND(#REF!,"AAAAAHv5HMk=")</f>
        <v>#REF!</v>
      </c>
      <c r="GU72" t="e">
        <f>AND(#REF!,"AAAAAHv5HMo=")</f>
        <v>#REF!</v>
      </c>
      <c r="GV72" t="e">
        <f>AND(#REF!,"AAAAAHv5HMs=")</f>
        <v>#REF!</v>
      </c>
      <c r="GW72" t="e">
        <f>AND(#REF!,"AAAAAHv5HMw=")</f>
        <v>#REF!</v>
      </c>
      <c r="GX72" t="e">
        <f>AND(#REF!,"AAAAAHv5HM0=")</f>
        <v>#REF!</v>
      </c>
      <c r="GY72" t="e">
        <f>AND(#REF!,"AAAAAHv5HM4=")</f>
        <v>#REF!</v>
      </c>
      <c r="GZ72" t="e">
        <f>AND(#REF!,"AAAAAHv5HM8=")</f>
        <v>#REF!</v>
      </c>
      <c r="HA72" t="e">
        <f>AND(#REF!,"AAAAAHv5HNA=")</f>
        <v>#REF!</v>
      </c>
      <c r="HB72" t="e">
        <f>AND(#REF!,"AAAAAHv5HNE=")</f>
        <v>#REF!</v>
      </c>
      <c r="HC72" t="e">
        <f>AND(#REF!,"AAAAAHv5HNI=")</f>
        <v>#REF!</v>
      </c>
      <c r="HD72" t="e">
        <f>AND(#REF!,"AAAAAHv5HNM=")</f>
        <v>#REF!</v>
      </c>
      <c r="HE72" t="e">
        <f>AND(#REF!,"AAAAAHv5HNQ=")</f>
        <v>#REF!</v>
      </c>
      <c r="HF72" t="e">
        <f>AND(#REF!,"AAAAAHv5HNU=")</f>
        <v>#REF!</v>
      </c>
      <c r="HG72" t="e">
        <f>AND(#REF!,"AAAAAHv5HNY=")</f>
        <v>#REF!</v>
      </c>
      <c r="HH72" t="e">
        <f>AND(#REF!,"AAAAAHv5HNc=")</f>
        <v>#REF!</v>
      </c>
      <c r="HI72" t="e">
        <f>AND(#REF!,"AAAAAHv5HNg=")</f>
        <v>#REF!</v>
      </c>
      <c r="HJ72" t="e">
        <f>AND(#REF!,"AAAAAHv5HNk=")</f>
        <v>#REF!</v>
      </c>
      <c r="HK72" t="e">
        <f>AND(#REF!,"AAAAAHv5HNo=")</f>
        <v>#REF!</v>
      </c>
      <c r="HL72" t="e">
        <f>AND(#REF!,"AAAAAHv5HNs=")</f>
        <v>#REF!</v>
      </c>
      <c r="HM72" t="e">
        <f>AND(#REF!,"AAAAAHv5HNw=")</f>
        <v>#REF!</v>
      </c>
      <c r="HN72" t="e">
        <f>AND(#REF!,"AAAAAHv5HN0=")</f>
        <v>#REF!</v>
      </c>
      <c r="HO72" t="e">
        <f>AND(#REF!,"AAAAAHv5HN4=")</f>
        <v>#REF!</v>
      </c>
      <c r="HP72" t="e">
        <f>AND(#REF!,"AAAAAHv5HN8=")</f>
        <v>#REF!</v>
      </c>
      <c r="HQ72" t="e">
        <f>AND(#REF!,"AAAAAHv5HOA=")</f>
        <v>#REF!</v>
      </c>
      <c r="HR72" t="e">
        <f>AND(#REF!,"AAAAAHv5HOE=")</f>
        <v>#REF!</v>
      </c>
      <c r="HS72" t="e">
        <f>AND(#REF!,"AAAAAHv5HOI=")</f>
        <v>#REF!</v>
      </c>
      <c r="HT72" t="e">
        <f>AND(#REF!,"AAAAAHv5HOM=")</f>
        <v>#REF!</v>
      </c>
      <c r="HU72" t="e">
        <f>AND(#REF!,"AAAAAHv5HOQ=")</f>
        <v>#REF!</v>
      </c>
      <c r="HV72" t="e">
        <f>AND(#REF!,"AAAAAHv5HOU=")</f>
        <v>#REF!</v>
      </c>
      <c r="HW72" t="e">
        <f>AND(#REF!,"AAAAAHv5HOY=")</f>
        <v>#REF!</v>
      </c>
      <c r="HX72" t="e">
        <f>AND(#REF!,"AAAAAHv5HOc=")</f>
        <v>#REF!</v>
      </c>
      <c r="HY72" t="e">
        <f>IF(#REF!,"AAAAAHv5HOg=",0)</f>
        <v>#REF!</v>
      </c>
      <c r="HZ72" t="e">
        <f>AND(#REF!,"AAAAAHv5HOk=")</f>
        <v>#REF!</v>
      </c>
      <c r="IA72" t="e">
        <f>AND(#REF!,"AAAAAHv5HOo=")</f>
        <v>#REF!</v>
      </c>
      <c r="IB72" t="e">
        <f>AND(#REF!,"AAAAAHv5HOs=")</f>
        <v>#REF!</v>
      </c>
      <c r="IC72" t="e">
        <f>AND(#REF!,"AAAAAHv5HOw=")</f>
        <v>#REF!</v>
      </c>
      <c r="ID72" t="e">
        <f>AND(#REF!,"AAAAAHv5HO0=")</f>
        <v>#REF!</v>
      </c>
      <c r="IE72" t="e">
        <f>AND(#REF!,"AAAAAHv5HO4=")</f>
        <v>#REF!</v>
      </c>
      <c r="IF72" t="e">
        <f>AND(#REF!,"AAAAAHv5HO8=")</f>
        <v>#REF!</v>
      </c>
      <c r="IG72" t="e">
        <f>AND(#REF!,"AAAAAHv5HPA=")</f>
        <v>#REF!</v>
      </c>
      <c r="IH72" t="e">
        <f>AND(#REF!,"AAAAAHv5HPE=")</f>
        <v>#REF!</v>
      </c>
      <c r="II72" t="e">
        <f>AND(#REF!,"AAAAAHv5HPI=")</f>
        <v>#REF!</v>
      </c>
      <c r="IJ72" t="e">
        <f>AND(#REF!,"AAAAAHv5HPM=")</f>
        <v>#REF!</v>
      </c>
      <c r="IK72" t="e">
        <f>AND(#REF!,"AAAAAHv5HPQ=")</f>
        <v>#REF!</v>
      </c>
      <c r="IL72" t="e">
        <f>AND(#REF!,"AAAAAHv5HPU=")</f>
        <v>#REF!</v>
      </c>
      <c r="IM72" t="e">
        <f>AND(#REF!,"AAAAAHv5HPY=")</f>
        <v>#REF!</v>
      </c>
      <c r="IN72" t="e">
        <f>AND(#REF!,"AAAAAHv5HPc=")</f>
        <v>#REF!</v>
      </c>
      <c r="IO72" t="e">
        <f>AND(#REF!,"AAAAAHv5HPg=")</f>
        <v>#REF!</v>
      </c>
      <c r="IP72" t="e">
        <f>AND(#REF!,"AAAAAHv5HPk=")</f>
        <v>#REF!</v>
      </c>
      <c r="IQ72" t="e">
        <f>AND(#REF!,"AAAAAHv5HPo=")</f>
        <v>#REF!</v>
      </c>
      <c r="IR72" t="e">
        <f>AND(#REF!,"AAAAAHv5HPs=")</f>
        <v>#REF!</v>
      </c>
      <c r="IS72" t="e">
        <f>AND(#REF!,"AAAAAHv5HPw=")</f>
        <v>#REF!</v>
      </c>
      <c r="IT72" t="e">
        <f>AND(#REF!,"AAAAAHv5HP0=")</f>
        <v>#REF!</v>
      </c>
      <c r="IU72" t="e">
        <f>AND(#REF!,"AAAAAHv5HP4=")</f>
        <v>#REF!</v>
      </c>
      <c r="IV72" t="e">
        <f>AND(#REF!,"AAAAAHv5HP8=")</f>
        <v>#REF!</v>
      </c>
    </row>
    <row r="73" spans="1:256" x14ac:dyDescent="0.25">
      <c r="A73" t="e">
        <f>AND(#REF!,"AAAAAHHn1wA=")</f>
        <v>#REF!</v>
      </c>
      <c r="B73" t="e">
        <f>AND(#REF!,"AAAAAHHn1wE=")</f>
        <v>#REF!</v>
      </c>
      <c r="C73" t="e">
        <f>AND(#REF!,"AAAAAHHn1wI=")</f>
        <v>#REF!</v>
      </c>
      <c r="D73" t="e">
        <f>AND(#REF!,"AAAAAHHn1wM=")</f>
        <v>#REF!</v>
      </c>
      <c r="E73" t="e">
        <f>AND(#REF!,"AAAAAHHn1wQ=")</f>
        <v>#REF!</v>
      </c>
      <c r="F73" t="e">
        <f>AND(#REF!,"AAAAAHHn1wU=")</f>
        <v>#REF!</v>
      </c>
      <c r="G73" t="e">
        <f>AND(#REF!,"AAAAAHHn1wY=")</f>
        <v>#REF!</v>
      </c>
      <c r="H73" t="e">
        <f>AND(#REF!,"AAAAAHHn1wc=")</f>
        <v>#REF!</v>
      </c>
      <c r="I73" t="e">
        <f>AND(#REF!,"AAAAAHHn1wg=")</f>
        <v>#REF!</v>
      </c>
      <c r="J73" t="e">
        <f>IF(#REF!,"AAAAAHHn1wk=",0)</f>
        <v>#REF!</v>
      </c>
      <c r="K73" t="e">
        <f>AND(#REF!,"AAAAAHHn1wo=")</f>
        <v>#REF!</v>
      </c>
      <c r="L73" t="e">
        <f>AND(#REF!,"AAAAAHHn1ws=")</f>
        <v>#REF!</v>
      </c>
      <c r="M73" t="e">
        <f>AND(#REF!,"AAAAAHHn1ww=")</f>
        <v>#REF!</v>
      </c>
      <c r="N73" t="e">
        <f>AND(#REF!,"AAAAAHHn1w0=")</f>
        <v>#REF!</v>
      </c>
      <c r="O73" t="e">
        <f>AND(#REF!,"AAAAAHHn1w4=")</f>
        <v>#REF!</v>
      </c>
      <c r="P73" t="e">
        <f>AND(#REF!,"AAAAAHHn1w8=")</f>
        <v>#REF!</v>
      </c>
      <c r="Q73" t="e">
        <f>AND(#REF!,"AAAAAHHn1xA=")</f>
        <v>#REF!</v>
      </c>
      <c r="R73" t="e">
        <f>AND(#REF!,"AAAAAHHn1xE=")</f>
        <v>#REF!</v>
      </c>
      <c r="S73" t="e">
        <f>AND(#REF!,"AAAAAHHn1xI=")</f>
        <v>#REF!</v>
      </c>
      <c r="T73" t="e">
        <f>AND(#REF!,"AAAAAHHn1xM=")</f>
        <v>#REF!</v>
      </c>
      <c r="U73" t="e">
        <f>AND(#REF!,"AAAAAHHn1xQ=")</f>
        <v>#REF!</v>
      </c>
      <c r="V73" t="e">
        <f>AND(#REF!,"AAAAAHHn1xU=")</f>
        <v>#REF!</v>
      </c>
      <c r="W73" t="e">
        <f>AND(#REF!,"AAAAAHHn1xY=")</f>
        <v>#REF!</v>
      </c>
      <c r="X73" t="e">
        <f>AND(#REF!,"AAAAAHHn1xc=")</f>
        <v>#REF!</v>
      </c>
      <c r="Y73" t="e">
        <f>AND(#REF!,"AAAAAHHn1xg=")</f>
        <v>#REF!</v>
      </c>
      <c r="Z73" t="e">
        <f>AND(#REF!,"AAAAAHHn1xk=")</f>
        <v>#REF!</v>
      </c>
      <c r="AA73" t="e">
        <f>AND(#REF!,"AAAAAHHn1xo=")</f>
        <v>#REF!</v>
      </c>
      <c r="AB73" t="e">
        <f>AND(#REF!,"AAAAAHHn1xs=")</f>
        <v>#REF!</v>
      </c>
      <c r="AC73" t="e">
        <f>AND(#REF!,"AAAAAHHn1xw=")</f>
        <v>#REF!</v>
      </c>
      <c r="AD73" t="e">
        <f>AND(#REF!,"AAAAAHHn1x0=")</f>
        <v>#REF!</v>
      </c>
      <c r="AE73" t="e">
        <f>AND(#REF!,"AAAAAHHn1x4=")</f>
        <v>#REF!</v>
      </c>
      <c r="AF73" t="e">
        <f>AND(#REF!,"AAAAAHHn1x8=")</f>
        <v>#REF!</v>
      </c>
      <c r="AG73" t="e">
        <f>AND(#REF!,"AAAAAHHn1yA=")</f>
        <v>#REF!</v>
      </c>
      <c r="AH73" t="e">
        <f>AND(#REF!,"AAAAAHHn1yE=")</f>
        <v>#REF!</v>
      </c>
      <c r="AI73" t="e">
        <f>AND(#REF!,"AAAAAHHn1yI=")</f>
        <v>#REF!</v>
      </c>
      <c r="AJ73" t="e">
        <f>AND(#REF!,"AAAAAHHn1yM=")</f>
        <v>#REF!</v>
      </c>
      <c r="AK73" t="e">
        <f>AND(#REF!,"AAAAAHHn1yQ=")</f>
        <v>#REF!</v>
      </c>
      <c r="AL73" t="e">
        <f>AND(#REF!,"AAAAAHHn1yU=")</f>
        <v>#REF!</v>
      </c>
      <c r="AM73" t="e">
        <f>AND(#REF!,"AAAAAHHn1yY=")</f>
        <v>#REF!</v>
      </c>
      <c r="AN73" t="e">
        <f>AND(#REF!,"AAAAAHHn1yc=")</f>
        <v>#REF!</v>
      </c>
      <c r="AO73" t="e">
        <f>AND(#REF!,"AAAAAHHn1yg=")</f>
        <v>#REF!</v>
      </c>
      <c r="AP73" t="e">
        <f>AND(#REF!,"AAAAAHHn1yk=")</f>
        <v>#REF!</v>
      </c>
      <c r="AQ73" t="e">
        <f>IF(#REF!,"AAAAAHHn1yo=",0)</f>
        <v>#REF!</v>
      </c>
      <c r="AR73" t="e">
        <f>AND(#REF!,"AAAAAHHn1ys=")</f>
        <v>#REF!</v>
      </c>
      <c r="AS73" t="e">
        <f>AND(#REF!,"AAAAAHHn1yw=")</f>
        <v>#REF!</v>
      </c>
      <c r="AT73" t="e">
        <f>AND(#REF!,"AAAAAHHn1y0=")</f>
        <v>#REF!</v>
      </c>
      <c r="AU73" t="e">
        <f>AND(#REF!,"AAAAAHHn1y4=")</f>
        <v>#REF!</v>
      </c>
      <c r="AV73" t="e">
        <f>AND(#REF!,"AAAAAHHn1y8=")</f>
        <v>#REF!</v>
      </c>
      <c r="AW73" t="e">
        <f>AND(#REF!,"AAAAAHHn1zA=")</f>
        <v>#REF!</v>
      </c>
      <c r="AX73" t="e">
        <f>AND(#REF!,"AAAAAHHn1zE=")</f>
        <v>#REF!</v>
      </c>
      <c r="AY73" t="e">
        <f>AND(#REF!,"AAAAAHHn1zI=")</f>
        <v>#REF!</v>
      </c>
      <c r="AZ73" t="e">
        <f>AND(#REF!,"AAAAAHHn1zM=")</f>
        <v>#REF!</v>
      </c>
      <c r="BA73" t="e">
        <f>AND(#REF!,"AAAAAHHn1zQ=")</f>
        <v>#REF!</v>
      </c>
      <c r="BB73" t="e">
        <f>AND(#REF!,"AAAAAHHn1zU=")</f>
        <v>#REF!</v>
      </c>
      <c r="BC73" t="e">
        <f>AND(#REF!,"AAAAAHHn1zY=")</f>
        <v>#REF!</v>
      </c>
      <c r="BD73" t="e">
        <f>AND(#REF!,"AAAAAHHn1zc=")</f>
        <v>#REF!</v>
      </c>
      <c r="BE73" t="e">
        <f>AND(#REF!,"AAAAAHHn1zg=")</f>
        <v>#REF!</v>
      </c>
      <c r="BF73" t="e">
        <f>AND(#REF!,"AAAAAHHn1zk=")</f>
        <v>#REF!</v>
      </c>
      <c r="BG73" t="e">
        <f>AND(#REF!,"AAAAAHHn1zo=")</f>
        <v>#REF!</v>
      </c>
      <c r="BH73" t="e">
        <f>AND(#REF!,"AAAAAHHn1zs=")</f>
        <v>#REF!</v>
      </c>
      <c r="BI73" t="e">
        <f>AND(#REF!,"AAAAAHHn1zw=")</f>
        <v>#REF!</v>
      </c>
      <c r="BJ73" t="e">
        <f>AND(#REF!,"AAAAAHHn1z0=")</f>
        <v>#REF!</v>
      </c>
      <c r="BK73" t="e">
        <f>AND(#REF!,"AAAAAHHn1z4=")</f>
        <v>#REF!</v>
      </c>
      <c r="BL73" t="e">
        <f>AND(#REF!,"AAAAAHHn1z8=")</f>
        <v>#REF!</v>
      </c>
      <c r="BM73" t="e">
        <f>AND(#REF!,"AAAAAHHn10A=")</f>
        <v>#REF!</v>
      </c>
      <c r="BN73" t="e">
        <f>AND(#REF!,"AAAAAHHn10E=")</f>
        <v>#REF!</v>
      </c>
      <c r="BO73" t="e">
        <f>AND(#REF!,"AAAAAHHn10I=")</f>
        <v>#REF!</v>
      </c>
      <c r="BP73" t="e">
        <f>AND(#REF!,"AAAAAHHn10M=")</f>
        <v>#REF!</v>
      </c>
      <c r="BQ73" t="e">
        <f>AND(#REF!,"AAAAAHHn10Q=")</f>
        <v>#REF!</v>
      </c>
      <c r="BR73" t="e">
        <f>AND(#REF!,"AAAAAHHn10U=")</f>
        <v>#REF!</v>
      </c>
      <c r="BS73" t="e">
        <f>AND(#REF!,"AAAAAHHn10Y=")</f>
        <v>#REF!</v>
      </c>
      <c r="BT73" t="e">
        <f>AND(#REF!,"AAAAAHHn10c=")</f>
        <v>#REF!</v>
      </c>
      <c r="BU73" t="e">
        <f>AND(#REF!,"AAAAAHHn10g=")</f>
        <v>#REF!</v>
      </c>
      <c r="BV73" t="e">
        <f>AND(#REF!,"AAAAAHHn10k=")</f>
        <v>#REF!</v>
      </c>
      <c r="BW73" t="e">
        <f>AND(#REF!,"AAAAAHHn10o=")</f>
        <v>#REF!</v>
      </c>
      <c r="BX73" t="e">
        <f>IF(#REF!,"AAAAAHHn10s=",0)</f>
        <v>#REF!</v>
      </c>
      <c r="BY73" t="e">
        <f>AND(#REF!,"AAAAAHHn10w=")</f>
        <v>#REF!</v>
      </c>
      <c r="BZ73" t="e">
        <f>AND(#REF!,"AAAAAHHn100=")</f>
        <v>#REF!</v>
      </c>
      <c r="CA73" t="e">
        <f>AND(#REF!,"AAAAAHHn104=")</f>
        <v>#REF!</v>
      </c>
      <c r="CB73" t="e">
        <f>AND(#REF!,"AAAAAHHn108=")</f>
        <v>#REF!</v>
      </c>
      <c r="CC73" t="e">
        <f>AND(#REF!,"AAAAAHHn11A=")</f>
        <v>#REF!</v>
      </c>
      <c r="CD73" t="e">
        <f>AND(#REF!,"AAAAAHHn11E=")</f>
        <v>#REF!</v>
      </c>
      <c r="CE73" t="e">
        <f>AND(#REF!,"AAAAAHHn11I=")</f>
        <v>#REF!</v>
      </c>
      <c r="CF73" t="e">
        <f>AND(#REF!,"AAAAAHHn11M=")</f>
        <v>#REF!</v>
      </c>
      <c r="CG73" t="e">
        <f>AND(#REF!,"AAAAAHHn11Q=")</f>
        <v>#REF!</v>
      </c>
      <c r="CH73" t="e">
        <f>AND(#REF!,"AAAAAHHn11U=")</f>
        <v>#REF!</v>
      </c>
      <c r="CI73" t="e">
        <f>AND(#REF!,"AAAAAHHn11Y=")</f>
        <v>#REF!</v>
      </c>
      <c r="CJ73" t="e">
        <f>AND(#REF!,"AAAAAHHn11c=")</f>
        <v>#REF!</v>
      </c>
      <c r="CK73" t="e">
        <f>AND(#REF!,"AAAAAHHn11g=")</f>
        <v>#REF!</v>
      </c>
      <c r="CL73" t="e">
        <f>AND(#REF!,"AAAAAHHn11k=")</f>
        <v>#REF!</v>
      </c>
      <c r="CM73" t="e">
        <f>AND(#REF!,"AAAAAHHn11o=")</f>
        <v>#REF!</v>
      </c>
      <c r="CN73" t="e">
        <f>AND(#REF!,"AAAAAHHn11s=")</f>
        <v>#REF!</v>
      </c>
      <c r="CO73" t="e">
        <f>AND(#REF!,"AAAAAHHn11w=")</f>
        <v>#REF!</v>
      </c>
      <c r="CP73" t="e">
        <f>AND(#REF!,"AAAAAHHn110=")</f>
        <v>#REF!</v>
      </c>
      <c r="CQ73" t="e">
        <f>AND(#REF!,"AAAAAHHn114=")</f>
        <v>#REF!</v>
      </c>
      <c r="CR73" t="e">
        <f>AND(#REF!,"AAAAAHHn118=")</f>
        <v>#REF!</v>
      </c>
      <c r="CS73" t="e">
        <f>AND(#REF!,"AAAAAHHn12A=")</f>
        <v>#REF!</v>
      </c>
      <c r="CT73" t="e">
        <f>AND(#REF!,"AAAAAHHn12E=")</f>
        <v>#REF!</v>
      </c>
      <c r="CU73" t="e">
        <f>AND(#REF!,"AAAAAHHn12I=")</f>
        <v>#REF!</v>
      </c>
      <c r="CV73" t="e">
        <f>AND(#REF!,"AAAAAHHn12M=")</f>
        <v>#REF!</v>
      </c>
      <c r="CW73" t="e">
        <f>AND(#REF!,"AAAAAHHn12Q=")</f>
        <v>#REF!</v>
      </c>
      <c r="CX73" t="e">
        <f>AND(#REF!,"AAAAAHHn12U=")</f>
        <v>#REF!</v>
      </c>
      <c r="CY73" t="e">
        <f>AND(#REF!,"AAAAAHHn12Y=")</f>
        <v>#REF!</v>
      </c>
      <c r="CZ73" t="e">
        <f>AND(#REF!,"AAAAAHHn12c=")</f>
        <v>#REF!</v>
      </c>
      <c r="DA73" t="e">
        <f>AND(#REF!,"AAAAAHHn12g=")</f>
        <v>#REF!</v>
      </c>
      <c r="DB73" t="e">
        <f>AND(#REF!,"AAAAAHHn12k=")</f>
        <v>#REF!</v>
      </c>
      <c r="DC73" t="e">
        <f>AND(#REF!,"AAAAAHHn12o=")</f>
        <v>#REF!</v>
      </c>
      <c r="DD73" t="e">
        <f>AND(#REF!,"AAAAAHHn12s=")</f>
        <v>#REF!</v>
      </c>
      <c r="DE73" t="e">
        <f>IF(#REF!,"AAAAAHHn12w=",0)</f>
        <v>#REF!</v>
      </c>
      <c r="DF73" t="e">
        <f>AND(#REF!,"AAAAAHHn120=")</f>
        <v>#REF!</v>
      </c>
      <c r="DG73" t="e">
        <f>AND(#REF!,"AAAAAHHn124=")</f>
        <v>#REF!</v>
      </c>
      <c r="DH73" t="e">
        <f>AND(#REF!,"AAAAAHHn128=")</f>
        <v>#REF!</v>
      </c>
      <c r="DI73" t="e">
        <f>AND(#REF!,"AAAAAHHn13A=")</f>
        <v>#REF!</v>
      </c>
      <c r="DJ73" t="e">
        <f>AND(#REF!,"AAAAAHHn13E=")</f>
        <v>#REF!</v>
      </c>
      <c r="DK73" t="e">
        <f>AND(#REF!,"AAAAAHHn13I=")</f>
        <v>#REF!</v>
      </c>
      <c r="DL73" t="e">
        <f>AND(#REF!,"AAAAAHHn13M=")</f>
        <v>#REF!</v>
      </c>
      <c r="DM73" t="e">
        <f>AND(#REF!,"AAAAAHHn13Q=")</f>
        <v>#REF!</v>
      </c>
      <c r="DN73" t="e">
        <f>AND(#REF!,"AAAAAHHn13U=")</f>
        <v>#REF!</v>
      </c>
      <c r="DO73" t="e">
        <f>AND(#REF!,"AAAAAHHn13Y=")</f>
        <v>#REF!</v>
      </c>
      <c r="DP73" t="e">
        <f>AND(#REF!,"AAAAAHHn13c=")</f>
        <v>#REF!</v>
      </c>
      <c r="DQ73" t="e">
        <f>AND(#REF!,"AAAAAHHn13g=")</f>
        <v>#REF!</v>
      </c>
      <c r="DR73" t="e">
        <f>AND(#REF!,"AAAAAHHn13k=")</f>
        <v>#REF!</v>
      </c>
      <c r="DS73" t="e">
        <f>AND(#REF!,"AAAAAHHn13o=")</f>
        <v>#REF!</v>
      </c>
      <c r="DT73" t="e">
        <f>AND(#REF!,"AAAAAHHn13s=")</f>
        <v>#REF!</v>
      </c>
      <c r="DU73" t="e">
        <f>AND(#REF!,"AAAAAHHn13w=")</f>
        <v>#REF!</v>
      </c>
      <c r="DV73" t="e">
        <f>AND(#REF!,"AAAAAHHn130=")</f>
        <v>#REF!</v>
      </c>
      <c r="DW73" t="e">
        <f>AND(#REF!,"AAAAAHHn134=")</f>
        <v>#REF!</v>
      </c>
      <c r="DX73" t="e">
        <f>AND(#REF!,"AAAAAHHn138=")</f>
        <v>#REF!</v>
      </c>
      <c r="DY73" t="e">
        <f>AND(#REF!,"AAAAAHHn14A=")</f>
        <v>#REF!</v>
      </c>
      <c r="DZ73" t="e">
        <f>AND(#REF!,"AAAAAHHn14E=")</f>
        <v>#REF!</v>
      </c>
      <c r="EA73" t="e">
        <f>AND(#REF!,"AAAAAHHn14I=")</f>
        <v>#REF!</v>
      </c>
      <c r="EB73" t="e">
        <f>AND(#REF!,"AAAAAHHn14M=")</f>
        <v>#REF!</v>
      </c>
      <c r="EC73" t="e">
        <f>AND(#REF!,"AAAAAHHn14Q=")</f>
        <v>#REF!</v>
      </c>
      <c r="ED73" t="e">
        <f>AND(#REF!,"AAAAAHHn14U=")</f>
        <v>#REF!</v>
      </c>
      <c r="EE73" t="e">
        <f>AND(#REF!,"AAAAAHHn14Y=")</f>
        <v>#REF!</v>
      </c>
      <c r="EF73" t="e">
        <f>AND(#REF!,"AAAAAHHn14c=")</f>
        <v>#REF!</v>
      </c>
      <c r="EG73" t="e">
        <f>AND(#REF!,"AAAAAHHn14g=")</f>
        <v>#REF!</v>
      </c>
      <c r="EH73" t="e">
        <f>AND(#REF!,"AAAAAHHn14k=")</f>
        <v>#REF!</v>
      </c>
      <c r="EI73" t="e">
        <f>AND(#REF!,"AAAAAHHn14o=")</f>
        <v>#REF!</v>
      </c>
      <c r="EJ73" t="e">
        <f>AND(#REF!,"AAAAAHHn14s=")</f>
        <v>#REF!</v>
      </c>
      <c r="EK73" t="e">
        <f>AND(#REF!,"AAAAAHHn14w=")</f>
        <v>#REF!</v>
      </c>
      <c r="EL73" t="e">
        <f>IF(#REF!,"AAAAAHHn140=",0)</f>
        <v>#REF!</v>
      </c>
      <c r="EM73" t="e">
        <f>AND(#REF!,"AAAAAHHn144=")</f>
        <v>#REF!</v>
      </c>
      <c r="EN73" t="e">
        <f>AND(#REF!,"AAAAAHHn148=")</f>
        <v>#REF!</v>
      </c>
      <c r="EO73" t="e">
        <f>AND(#REF!,"AAAAAHHn15A=")</f>
        <v>#REF!</v>
      </c>
      <c r="EP73" t="e">
        <f>AND(#REF!,"AAAAAHHn15E=")</f>
        <v>#REF!</v>
      </c>
      <c r="EQ73" t="e">
        <f>AND(#REF!,"AAAAAHHn15I=")</f>
        <v>#REF!</v>
      </c>
      <c r="ER73" t="e">
        <f>AND(#REF!,"AAAAAHHn15M=")</f>
        <v>#REF!</v>
      </c>
      <c r="ES73" t="e">
        <f>AND(#REF!,"AAAAAHHn15Q=")</f>
        <v>#REF!</v>
      </c>
      <c r="ET73" t="e">
        <f>AND(#REF!,"AAAAAHHn15U=")</f>
        <v>#REF!</v>
      </c>
      <c r="EU73" t="e">
        <f>AND(#REF!,"AAAAAHHn15Y=")</f>
        <v>#REF!</v>
      </c>
      <c r="EV73" t="e">
        <f>AND(#REF!,"AAAAAHHn15c=")</f>
        <v>#REF!</v>
      </c>
      <c r="EW73" t="e">
        <f>AND(#REF!,"AAAAAHHn15g=")</f>
        <v>#REF!</v>
      </c>
      <c r="EX73" t="e">
        <f>AND(#REF!,"AAAAAHHn15k=")</f>
        <v>#REF!</v>
      </c>
      <c r="EY73" t="e">
        <f>AND(#REF!,"AAAAAHHn15o=")</f>
        <v>#REF!</v>
      </c>
      <c r="EZ73" t="e">
        <f>AND(#REF!,"AAAAAHHn15s=")</f>
        <v>#REF!</v>
      </c>
      <c r="FA73" t="e">
        <f>AND(#REF!,"AAAAAHHn15w=")</f>
        <v>#REF!</v>
      </c>
      <c r="FB73" t="e">
        <f>AND(#REF!,"AAAAAHHn150=")</f>
        <v>#REF!</v>
      </c>
      <c r="FC73" t="e">
        <f>AND(#REF!,"AAAAAHHn154=")</f>
        <v>#REF!</v>
      </c>
      <c r="FD73" t="e">
        <f>AND(#REF!,"AAAAAHHn158=")</f>
        <v>#REF!</v>
      </c>
      <c r="FE73" t="e">
        <f>AND(#REF!,"AAAAAHHn16A=")</f>
        <v>#REF!</v>
      </c>
      <c r="FF73" t="e">
        <f>AND(#REF!,"AAAAAHHn16E=")</f>
        <v>#REF!</v>
      </c>
      <c r="FG73" t="e">
        <f>AND(#REF!,"AAAAAHHn16I=")</f>
        <v>#REF!</v>
      </c>
      <c r="FH73" t="e">
        <f>AND(#REF!,"AAAAAHHn16M=")</f>
        <v>#REF!</v>
      </c>
      <c r="FI73" t="e">
        <f>AND(#REF!,"AAAAAHHn16Q=")</f>
        <v>#REF!</v>
      </c>
      <c r="FJ73" t="e">
        <f>AND(#REF!,"AAAAAHHn16U=")</f>
        <v>#REF!</v>
      </c>
      <c r="FK73" t="e">
        <f>AND(#REF!,"AAAAAHHn16Y=")</f>
        <v>#REF!</v>
      </c>
      <c r="FL73" t="e">
        <f>AND(#REF!,"AAAAAHHn16c=")</f>
        <v>#REF!</v>
      </c>
      <c r="FM73" t="e">
        <f>AND(#REF!,"AAAAAHHn16g=")</f>
        <v>#REF!</v>
      </c>
      <c r="FN73" t="e">
        <f>AND(#REF!,"AAAAAHHn16k=")</f>
        <v>#REF!</v>
      </c>
      <c r="FO73" t="e">
        <f>AND(#REF!,"AAAAAHHn16o=")</f>
        <v>#REF!</v>
      </c>
      <c r="FP73" t="e">
        <f>AND(#REF!,"AAAAAHHn16s=")</f>
        <v>#REF!</v>
      </c>
      <c r="FQ73" t="e">
        <f>AND(#REF!,"AAAAAHHn16w=")</f>
        <v>#REF!</v>
      </c>
      <c r="FR73" t="e">
        <f>AND(#REF!,"AAAAAHHn160=")</f>
        <v>#REF!</v>
      </c>
      <c r="FS73" t="e">
        <f>IF(#REF!,"AAAAAHHn164=",0)</f>
        <v>#REF!</v>
      </c>
      <c r="FT73" t="e">
        <f>AND(#REF!,"AAAAAHHn168=")</f>
        <v>#REF!</v>
      </c>
      <c r="FU73" t="e">
        <f>AND(#REF!,"AAAAAHHn17A=")</f>
        <v>#REF!</v>
      </c>
      <c r="FV73" t="e">
        <f>AND(#REF!,"AAAAAHHn17E=")</f>
        <v>#REF!</v>
      </c>
      <c r="FW73" t="e">
        <f>AND(#REF!,"AAAAAHHn17I=")</f>
        <v>#REF!</v>
      </c>
      <c r="FX73" t="e">
        <f>AND(#REF!,"AAAAAHHn17M=")</f>
        <v>#REF!</v>
      </c>
      <c r="FY73" t="e">
        <f>AND(#REF!,"AAAAAHHn17Q=")</f>
        <v>#REF!</v>
      </c>
      <c r="FZ73" t="e">
        <f>AND(#REF!,"AAAAAHHn17U=")</f>
        <v>#REF!</v>
      </c>
      <c r="GA73" t="e">
        <f>AND(#REF!,"AAAAAHHn17Y=")</f>
        <v>#REF!</v>
      </c>
      <c r="GB73" t="e">
        <f>AND(#REF!,"AAAAAHHn17c=")</f>
        <v>#REF!</v>
      </c>
      <c r="GC73" t="e">
        <f>AND(#REF!,"AAAAAHHn17g=")</f>
        <v>#REF!</v>
      </c>
      <c r="GD73" t="e">
        <f>AND(#REF!,"AAAAAHHn17k=")</f>
        <v>#REF!</v>
      </c>
      <c r="GE73" t="e">
        <f>AND(#REF!,"AAAAAHHn17o=")</f>
        <v>#REF!</v>
      </c>
      <c r="GF73" t="e">
        <f>AND(#REF!,"AAAAAHHn17s=")</f>
        <v>#REF!</v>
      </c>
      <c r="GG73" t="e">
        <f>AND(#REF!,"AAAAAHHn17w=")</f>
        <v>#REF!</v>
      </c>
      <c r="GH73" t="e">
        <f>AND(#REF!,"AAAAAHHn170=")</f>
        <v>#REF!</v>
      </c>
      <c r="GI73" t="e">
        <f>AND(#REF!,"AAAAAHHn174=")</f>
        <v>#REF!</v>
      </c>
      <c r="GJ73" t="e">
        <f>AND(#REF!,"AAAAAHHn178=")</f>
        <v>#REF!</v>
      </c>
      <c r="GK73" t="e">
        <f>AND(#REF!,"AAAAAHHn18A=")</f>
        <v>#REF!</v>
      </c>
      <c r="GL73" t="e">
        <f>AND(#REF!,"AAAAAHHn18E=")</f>
        <v>#REF!</v>
      </c>
      <c r="GM73" t="e">
        <f>AND(#REF!,"AAAAAHHn18I=")</f>
        <v>#REF!</v>
      </c>
      <c r="GN73" t="e">
        <f>AND(#REF!,"AAAAAHHn18M=")</f>
        <v>#REF!</v>
      </c>
      <c r="GO73" t="e">
        <f>AND(#REF!,"AAAAAHHn18Q=")</f>
        <v>#REF!</v>
      </c>
      <c r="GP73" t="e">
        <f>AND(#REF!,"AAAAAHHn18U=")</f>
        <v>#REF!</v>
      </c>
      <c r="GQ73" t="e">
        <f>AND(#REF!,"AAAAAHHn18Y=")</f>
        <v>#REF!</v>
      </c>
      <c r="GR73" t="e">
        <f>AND(#REF!,"AAAAAHHn18c=")</f>
        <v>#REF!</v>
      </c>
      <c r="GS73" t="e">
        <f>AND(#REF!,"AAAAAHHn18g=")</f>
        <v>#REF!</v>
      </c>
      <c r="GT73" t="e">
        <f>AND(#REF!,"AAAAAHHn18k=")</f>
        <v>#REF!</v>
      </c>
      <c r="GU73" t="e">
        <f>AND(#REF!,"AAAAAHHn18o=")</f>
        <v>#REF!</v>
      </c>
      <c r="GV73" t="e">
        <f>AND(#REF!,"AAAAAHHn18s=")</f>
        <v>#REF!</v>
      </c>
      <c r="GW73" t="e">
        <f>AND(#REF!,"AAAAAHHn18w=")</f>
        <v>#REF!</v>
      </c>
      <c r="GX73" t="e">
        <f>AND(#REF!,"AAAAAHHn180=")</f>
        <v>#REF!</v>
      </c>
      <c r="GY73" t="e">
        <f>AND(#REF!,"AAAAAHHn184=")</f>
        <v>#REF!</v>
      </c>
      <c r="GZ73" t="e">
        <f>IF(#REF!,"AAAAAHHn188=",0)</f>
        <v>#REF!</v>
      </c>
      <c r="HA73" t="e">
        <f>AND(#REF!,"AAAAAHHn19A=")</f>
        <v>#REF!</v>
      </c>
      <c r="HB73" t="e">
        <f>AND(#REF!,"AAAAAHHn19E=")</f>
        <v>#REF!</v>
      </c>
      <c r="HC73" t="e">
        <f>AND(#REF!,"AAAAAHHn19I=")</f>
        <v>#REF!</v>
      </c>
      <c r="HD73" t="e">
        <f>AND(#REF!,"AAAAAHHn19M=")</f>
        <v>#REF!</v>
      </c>
      <c r="HE73" t="e">
        <f>AND(#REF!,"AAAAAHHn19Q=")</f>
        <v>#REF!</v>
      </c>
      <c r="HF73" t="e">
        <f>AND(#REF!,"AAAAAHHn19U=")</f>
        <v>#REF!</v>
      </c>
      <c r="HG73" t="e">
        <f>AND(#REF!,"AAAAAHHn19Y=")</f>
        <v>#REF!</v>
      </c>
      <c r="HH73" t="e">
        <f>AND(#REF!,"AAAAAHHn19c=")</f>
        <v>#REF!</v>
      </c>
      <c r="HI73" t="e">
        <f>AND(#REF!,"AAAAAHHn19g=")</f>
        <v>#REF!</v>
      </c>
      <c r="HJ73" t="e">
        <f>AND(#REF!,"AAAAAHHn19k=")</f>
        <v>#REF!</v>
      </c>
      <c r="HK73" t="e">
        <f>AND(#REF!,"AAAAAHHn19o=")</f>
        <v>#REF!</v>
      </c>
      <c r="HL73" t="e">
        <f>AND(#REF!,"AAAAAHHn19s=")</f>
        <v>#REF!</v>
      </c>
      <c r="HM73" t="e">
        <f>AND(#REF!,"AAAAAHHn19w=")</f>
        <v>#REF!</v>
      </c>
      <c r="HN73" t="e">
        <f>AND(#REF!,"AAAAAHHn190=")</f>
        <v>#REF!</v>
      </c>
      <c r="HO73" t="e">
        <f>AND(#REF!,"AAAAAHHn194=")</f>
        <v>#REF!</v>
      </c>
      <c r="HP73" t="e">
        <f>AND(#REF!,"AAAAAHHn198=")</f>
        <v>#REF!</v>
      </c>
      <c r="HQ73" t="e">
        <f>AND(#REF!,"AAAAAHHn1+A=")</f>
        <v>#REF!</v>
      </c>
      <c r="HR73" t="e">
        <f>AND(#REF!,"AAAAAHHn1+E=")</f>
        <v>#REF!</v>
      </c>
      <c r="HS73" t="e">
        <f>AND(#REF!,"AAAAAHHn1+I=")</f>
        <v>#REF!</v>
      </c>
      <c r="HT73" t="e">
        <f>AND(#REF!,"AAAAAHHn1+M=")</f>
        <v>#REF!</v>
      </c>
      <c r="HU73" t="e">
        <f>AND(#REF!,"AAAAAHHn1+Q=")</f>
        <v>#REF!</v>
      </c>
      <c r="HV73" t="e">
        <f>AND(#REF!,"AAAAAHHn1+U=")</f>
        <v>#REF!</v>
      </c>
      <c r="HW73" t="e">
        <f>AND(#REF!,"AAAAAHHn1+Y=")</f>
        <v>#REF!</v>
      </c>
      <c r="HX73" t="e">
        <f>AND(#REF!,"AAAAAHHn1+c=")</f>
        <v>#REF!</v>
      </c>
      <c r="HY73" t="e">
        <f>AND(#REF!,"AAAAAHHn1+g=")</f>
        <v>#REF!</v>
      </c>
      <c r="HZ73" t="e">
        <f>AND(#REF!,"AAAAAHHn1+k=")</f>
        <v>#REF!</v>
      </c>
      <c r="IA73" t="e">
        <f>AND(#REF!,"AAAAAHHn1+o=")</f>
        <v>#REF!</v>
      </c>
      <c r="IB73" t="e">
        <f>AND(#REF!,"AAAAAHHn1+s=")</f>
        <v>#REF!</v>
      </c>
      <c r="IC73" t="e">
        <f>AND(#REF!,"AAAAAHHn1+w=")</f>
        <v>#REF!</v>
      </c>
      <c r="ID73" t="e">
        <f>AND(#REF!,"AAAAAHHn1+0=")</f>
        <v>#REF!</v>
      </c>
      <c r="IE73" t="e">
        <f>AND(#REF!,"AAAAAHHn1+4=")</f>
        <v>#REF!</v>
      </c>
      <c r="IF73" t="e">
        <f>AND(#REF!,"AAAAAHHn1+8=")</f>
        <v>#REF!</v>
      </c>
      <c r="IG73" t="e">
        <f>IF(#REF!,"AAAAAHHn1/A=",0)</f>
        <v>#REF!</v>
      </c>
      <c r="IH73" t="e">
        <f>AND(#REF!,"AAAAAHHn1/E=")</f>
        <v>#REF!</v>
      </c>
      <c r="II73" t="e">
        <f>AND(#REF!,"AAAAAHHn1/I=")</f>
        <v>#REF!</v>
      </c>
      <c r="IJ73" t="e">
        <f>AND(#REF!,"AAAAAHHn1/M=")</f>
        <v>#REF!</v>
      </c>
      <c r="IK73" t="e">
        <f>AND(#REF!,"AAAAAHHn1/Q=")</f>
        <v>#REF!</v>
      </c>
      <c r="IL73" t="e">
        <f>AND(#REF!,"AAAAAHHn1/U=")</f>
        <v>#REF!</v>
      </c>
      <c r="IM73" t="e">
        <f>AND(#REF!,"AAAAAHHn1/Y=")</f>
        <v>#REF!</v>
      </c>
      <c r="IN73" t="e">
        <f>AND(#REF!,"AAAAAHHn1/c=")</f>
        <v>#REF!</v>
      </c>
      <c r="IO73" t="e">
        <f>AND(#REF!,"AAAAAHHn1/g=")</f>
        <v>#REF!</v>
      </c>
      <c r="IP73" t="e">
        <f>AND(#REF!,"AAAAAHHn1/k=")</f>
        <v>#REF!</v>
      </c>
      <c r="IQ73" t="e">
        <f>AND(#REF!,"AAAAAHHn1/o=")</f>
        <v>#REF!</v>
      </c>
      <c r="IR73" t="e">
        <f>AND(#REF!,"AAAAAHHn1/s=")</f>
        <v>#REF!</v>
      </c>
      <c r="IS73" t="e">
        <f>AND(#REF!,"AAAAAHHn1/w=")</f>
        <v>#REF!</v>
      </c>
      <c r="IT73" t="e">
        <f>AND(#REF!,"AAAAAHHn1/0=")</f>
        <v>#REF!</v>
      </c>
      <c r="IU73" t="e">
        <f>AND(#REF!,"AAAAAHHn1/4=")</f>
        <v>#REF!</v>
      </c>
      <c r="IV73" t="e">
        <f>AND(#REF!,"AAAAAHHn1/8=")</f>
        <v>#REF!</v>
      </c>
    </row>
    <row r="74" spans="1:256" x14ac:dyDescent="0.25">
      <c r="A74" t="e">
        <f>AND(#REF!,"AAAAAH/6vwA=")</f>
        <v>#REF!</v>
      </c>
      <c r="B74" t="e">
        <f>AND(#REF!,"AAAAAH/6vwE=")</f>
        <v>#REF!</v>
      </c>
      <c r="C74" t="e">
        <f>AND(#REF!,"AAAAAH/6vwI=")</f>
        <v>#REF!</v>
      </c>
      <c r="D74" t="e">
        <f>AND(#REF!,"AAAAAH/6vwM=")</f>
        <v>#REF!</v>
      </c>
      <c r="E74" t="e">
        <f>AND(#REF!,"AAAAAH/6vwQ=")</f>
        <v>#REF!</v>
      </c>
      <c r="F74" t="e">
        <f>AND(#REF!,"AAAAAH/6vwU=")</f>
        <v>#REF!</v>
      </c>
      <c r="G74" t="e">
        <f>AND(#REF!,"AAAAAH/6vwY=")</f>
        <v>#REF!</v>
      </c>
      <c r="H74" t="e">
        <f>AND(#REF!,"AAAAAH/6vwc=")</f>
        <v>#REF!</v>
      </c>
      <c r="I74" t="e">
        <f>AND(#REF!,"AAAAAH/6vwg=")</f>
        <v>#REF!</v>
      </c>
      <c r="J74" t="e">
        <f>AND(#REF!,"AAAAAH/6vwk=")</f>
        <v>#REF!</v>
      </c>
      <c r="K74" t="e">
        <f>AND(#REF!,"AAAAAH/6vwo=")</f>
        <v>#REF!</v>
      </c>
      <c r="L74" t="e">
        <f>AND(#REF!,"AAAAAH/6vws=")</f>
        <v>#REF!</v>
      </c>
      <c r="M74" t="e">
        <f>AND(#REF!,"AAAAAH/6vww=")</f>
        <v>#REF!</v>
      </c>
      <c r="N74" t="e">
        <f>AND(#REF!,"AAAAAH/6vw0=")</f>
        <v>#REF!</v>
      </c>
      <c r="O74" t="e">
        <f>AND(#REF!,"AAAAAH/6vw4=")</f>
        <v>#REF!</v>
      </c>
      <c r="P74" t="e">
        <f>AND(#REF!,"AAAAAH/6vw8=")</f>
        <v>#REF!</v>
      </c>
      <c r="Q74" t="e">
        <f>AND(#REF!,"AAAAAH/6vxA=")</f>
        <v>#REF!</v>
      </c>
      <c r="R74" t="e">
        <f>IF(#REF!,"AAAAAH/6vxE=",0)</f>
        <v>#REF!</v>
      </c>
      <c r="S74" t="e">
        <f>AND(#REF!,"AAAAAH/6vxI=")</f>
        <v>#REF!</v>
      </c>
      <c r="T74" t="e">
        <f>AND(#REF!,"AAAAAH/6vxM=")</f>
        <v>#REF!</v>
      </c>
      <c r="U74" t="e">
        <f>AND(#REF!,"AAAAAH/6vxQ=")</f>
        <v>#REF!</v>
      </c>
      <c r="V74" t="e">
        <f>AND(#REF!,"AAAAAH/6vxU=")</f>
        <v>#REF!</v>
      </c>
      <c r="W74" t="e">
        <f>AND(#REF!,"AAAAAH/6vxY=")</f>
        <v>#REF!</v>
      </c>
      <c r="X74" t="e">
        <f>AND(#REF!,"AAAAAH/6vxc=")</f>
        <v>#REF!</v>
      </c>
      <c r="Y74" t="e">
        <f>AND(#REF!,"AAAAAH/6vxg=")</f>
        <v>#REF!</v>
      </c>
      <c r="Z74" t="e">
        <f>AND(#REF!,"AAAAAH/6vxk=")</f>
        <v>#REF!</v>
      </c>
      <c r="AA74" t="e">
        <f>AND(#REF!,"AAAAAH/6vxo=")</f>
        <v>#REF!</v>
      </c>
      <c r="AB74" t="e">
        <f>AND(#REF!,"AAAAAH/6vxs=")</f>
        <v>#REF!</v>
      </c>
      <c r="AC74" t="e">
        <f>AND(#REF!,"AAAAAH/6vxw=")</f>
        <v>#REF!</v>
      </c>
      <c r="AD74" t="e">
        <f>AND(#REF!,"AAAAAH/6vx0=")</f>
        <v>#REF!</v>
      </c>
      <c r="AE74" t="e">
        <f>AND(#REF!,"AAAAAH/6vx4=")</f>
        <v>#REF!</v>
      </c>
      <c r="AF74" t="e">
        <f>AND(#REF!,"AAAAAH/6vx8=")</f>
        <v>#REF!</v>
      </c>
      <c r="AG74" t="e">
        <f>AND(#REF!,"AAAAAH/6vyA=")</f>
        <v>#REF!</v>
      </c>
      <c r="AH74" t="e">
        <f>AND(#REF!,"AAAAAH/6vyE=")</f>
        <v>#REF!</v>
      </c>
      <c r="AI74" t="e">
        <f>AND(#REF!,"AAAAAH/6vyI=")</f>
        <v>#REF!</v>
      </c>
      <c r="AJ74" t="e">
        <f>AND(#REF!,"AAAAAH/6vyM=")</f>
        <v>#REF!</v>
      </c>
      <c r="AK74" t="e">
        <f>AND(#REF!,"AAAAAH/6vyQ=")</f>
        <v>#REF!</v>
      </c>
      <c r="AL74" t="e">
        <f>AND(#REF!,"AAAAAH/6vyU=")</f>
        <v>#REF!</v>
      </c>
      <c r="AM74" t="e">
        <f>AND(#REF!,"AAAAAH/6vyY=")</f>
        <v>#REF!</v>
      </c>
      <c r="AN74" t="e">
        <f>AND(#REF!,"AAAAAH/6vyc=")</f>
        <v>#REF!</v>
      </c>
      <c r="AO74" t="e">
        <f>AND(#REF!,"AAAAAH/6vyg=")</f>
        <v>#REF!</v>
      </c>
      <c r="AP74" t="e">
        <f>AND(#REF!,"AAAAAH/6vyk=")</f>
        <v>#REF!</v>
      </c>
      <c r="AQ74" t="e">
        <f>AND(#REF!,"AAAAAH/6vyo=")</f>
        <v>#REF!</v>
      </c>
      <c r="AR74" t="e">
        <f>AND(#REF!,"AAAAAH/6vys=")</f>
        <v>#REF!</v>
      </c>
      <c r="AS74" t="e">
        <f>AND(#REF!,"AAAAAH/6vyw=")</f>
        <v>#REF!</v>
      </c>
      <c r="AT74" t="e">
        <f>AND(#REF!,"AAAAAH/6vy0=")</f>
        <v>#REF!</v>
      </c>
      <c r="AU74" t="e">
        <f>AND(#REF!,"AAAAAH/6vy4=")</f>
        <v>#REF!</v>
      </c>
      <c r="AV74" t="e">
        <f>AND(#REF!,"AAAAAH/6vy8=")</f>
        <v>#REF!</v>
      </c>
      <c r="AW74" t="e">
        <f>AND(#REF!,"AAAAAH/6vzA=")</f>
        <v>#REF!</v>
      </c>
      <c r="AX74" t="e">
        <f>AND(#REF!,"AAAAAH/6vzE=")</f>
        <v>#REF!</v>
      </c>
      <c r="AY74" t="e">
        <f>IF(#REF!,"AAAAAH/6vzI=",0)</f>
        <v>#REF!</v>
      </c>
      <c r="AZ74" t="e">
        <f>AND(#REF!,"AAAAAH/6vzM=")</f>
        <v>#REF!</v>
      </c>
      <c r="BA74" t="e">
        <f>AND(#REF!,"AAAAAH/6vzQ=")</f>
        <v>#REF!</v>
      </c>
      <c r="BB74" t="e">
        <f>AND(#REF!,"AAAAAH/6vzU=")</f>
        <v>#REF!</v>
      </c>
      <c r="BC74" t="e">
        <f>AND(#REF!,"AAAAAH/6vzY=")</f>
        <v>#REF!</v>
      </c>
      <c r="BD74" t="e">
        <f>AND(#REF!,"AAAAAH/6vzc=")</f>
        <v>#REF!</v>
      </c>
      <c r="BE74" t="e">
        <f>AND(#REF!,"AAAAAH/6vzg=")</f>
        <v>#REF!</v>
      </c>
      <c r="BF74" t="e">
        <f>AND(#REF!,"AAAAAH/6vzk=")</f>
        <v>#REF!</v>
      </c>
      <c r="BG74" t="e">
        <f>AND(#REF!,"AAAAAH/6vzo=")</f>
        <v>#REF!</v>
      </c>
      <c r="BH74" t="e">
        <f>AND(#REF!,"AAAAAH/6vzs=")</f>
        <v>#REF!</v>
      </c>
      <c r="BI74" t="e">
        <f>AND(#REF!,"AAAAAH/6vzw=")</f>
        <v>#REF!</v>
      </c>
      <c r="BJ74" t="e">
        <f>AND(#REF!,"AAAAAH/6vz0=")</f>
        <v>#REF!</v>
      </c>
      <c r="BK74" t="e">
        <f>AND(#REF!,"AAAAAH/6vz4=")</f>
        <v>#REF!</v>
      </c>
      <c r="BL74" t="e">
        <f>AND(#REF!,"AAAAAH/6vz8=")</f>
        <v>#REF!</v>
      </c>
      <c r="BM74" t="e">
        <f>AND(#REF!,"AAAAAH/6v0A=")</f>
        <v>#REF!</v>
      </c>
      <c r="BN74" t="e">
        <f>AND(#REF!,"AAAAAH/6v0E=")</f>
        <v>#REF!</v>
      </c>
      <c r="BO74" t="e">
        <f>AND(#REF!,"AAAAAH/6v0I=")</f>
        <v>#REF!</v>
      </c>
      <c r="BP74" t="e">
        <f>AND(#REF!,"AAAAAH/6v0M=")</f>
        <v>#REF!</v>
      </c>
      <c r="BQ74" t="e">
        <f>AND(#REF!,"AAAAAH/6v0Q=")</f>
        <v>#REF!</v>
      </c>
      <c r="BR74" t="e">
        <f>AND(#REF!,"AAAAAH/6v0U=")</f>
        <v>#REF!</v>
      </c>
      <c r="BS74" t="e">
        <f>AND(#REF!,"AAAAAH/6v0Y=")</f>
        <v>#REF!</v>
      </c>
      <c r="BT74" t="e">
        <f>AND(#REF!,"AAAAAH/6v0c=")</f>
        <v>#REF!</v>
      </c>
      <c r="BU74" t="e">
        <f>AND(#REF!,"AAAAAH/6v0g=")</f>
        <v>#REF!</v>
      </c>
      <c r="BV74" t="e">
        <f>AND(#REF!,"AAAAAH/6v0k=")</f>
        <v>#REF!</v>
      </c>
      <c r="BW74" t="e">
        <f>AND(#REF!,"AAAAAH/6v0o=")</f>
        <v>#REF!</v>
      </c>
      <c r="BX74" t="e">
        <f>AND(#REF!,"AAAAAH/6v0s=")</f>
        <v>#REF!</v>
      </c>
      <c r="BY74" t="e">
        <f>AND(#REF!,"AAAAAH/6v0w=")</f>
        <v>#REF!</v>
      </c>
      <c r="BZ74" t="e">
        <f>AND(#REF!,"AAAAAH/6v00=")</f>
        <v>#REF!</v>
      </c>
      <c r="CA74" t="e">
        <f>AND(#REF!,"AAAAAH/6v04=")</f>
        <v>#REF!</v>
      </c>
      <c r="CB74" t="e">
        <f>AND(#REF!,"AAAAAH/6v08=")</f>
        <v>#REF!</v>
      </c>
      <c r="CC74" t="e">
        <f>AND(#REF!,"AAAAAH/6v1A=")</f>
        <v>#REF!</v>
      </c>
      <c r="CD74" t="e">
        <f>AND(#REF!,"AAAAAH/6v1E=")</f>
        <v>#REF!</v>
      </c>
      <c r="CE74" t="e">
        <f>AND(#REF!,"AAAAAH/6v1I=")</f>
        <v>#REF!</v>
      </c>
      <c r="CF74" t="e">
        <f>IF(#REF!,"AAAAAH/6v1M=",0)</f>
        <v>#REF!</v>
      </c>
      <c r="CG74" t="e">
        <f>AND(#REF!,"AAAAAH/6v1Q=")</f>
        <v>#REF!</v>
      </c>
      <c r="CH74" t="e">
        <f>AND(#REF!,"AAAAAH/6v1U=")</f>
        <v>#REF!</v>
      </c>
      <c r="CI74" t="e">
        <f>AND(#REF!,"AAAAAH/6v1Y=")</f>
        <v>#REF!</v>
      </c>
      <c r="CJ74" t="e">
        <f>AND(#REF!,"AAAAAH/6v1c=")</f>
        <v>#REF!</v>
      </c>
      <c r="CK74" t="e">
        <f>AND(#REF!,"AAAAAH/6v1g=")</f>
        <v>#REF!</v>
      </c>
      <c r="CL74" t="e">
        <f>AND(#REF!,"AAAAAH/6v1k=")</f>
        <v>#REF!</v>
      </c>
      <c r="CM74" t="e">
        <f>AND(#REF!,"AAAAAH/6v1o=")</f>
        <v>#REF!</v>
      </c>
      <c r="CN74" t="e">
        <f>AND(#REF!,"AAAAAH/6v1s=")</f>
        <v>#REF!</v>
      </c>
      <c r="CO74" t="e">
        <f>AND(#REF!,"AAAAAH/6v1w=")</f>
        <v>#REF!</v>
      </c>
      <c r="CP74" t="e">
        <f>AND(#REF!,"AAAAAH/6v10=")</f>
        <v>#REF!</v>
      </c>
      <c r="CQ74" t="e">
        <f>AND(#REF!,"AAAAAH/6v14=")</f>
        <v>#REF!</v>
      </c>
      <c r="CR74" t="e">
        <f>AND(#REF!,"AAAAAH/6v18=")</f>
        <v>#REF!</v>
      </c>
      <c r="CS74" t="e">
        <f>AND(#REF!,"AAAAAH/6v2A=")</f>
        <v>#REF!</v>
      </c>
      <c r="CT74" t="e">
        <f>AND(#REF!,"AAAAAH/6v2E=")</f>
        <v>#REF!</v>
      </c>
      <c r="CU74" t="e">
        <f>AND(#REF!,"AAAAAH/6v2I=")</f>
        <v>#REF!</v>
      </c>
      <c r="CV74" t="e">
        <f>AND(#REF!,"AAAAAH/6v2M=")</f>
        <v>#REF!</v>
      </c>
      <c r="CW74" t="e">
        <f>AND(#REF!,"AAAAAH/6v2Q=")</f>
        <v>#REF!</v>
      </c>
      <c r="CX74" t="e">
        <f>AND(#REF!,"AAAAAH/6v2U=")</f>
        <v>#REF!</v>
      </c>
      <c r="CY74" t="e">
        <f>AND(#REF!,"AAAAAH/6v2Y=")</f>
        <v>#REF!</v>
      </c>
      <c r="CZ74" t="e">
        <f>AND(#REF!,"AAAAAH/6v2c=")</f>
        <v>#REF!</v>
      </c>
      <c r="DA74" t="e">
        <f>AND(#REF!,"AAAAAH/6v2g=")</f>
        <v>#REF!</v>
      </c>
      <c r="DB74" t="e">
        <f>AND(#REF!,"AAAAAH/6v2k=")</f>
        <v>#REF!</v>
      </c>
      <c r="DC74" t="e">
        <f>AND(#REF!,"AAAAAH/6v2o=")</f>
        <v>#REF!</v>
      </c>
      <c r="DD74" t="e">
        <f>AND(#REF!,"AAAAAH/6v2s=")</f>
        <v>#REF!</v>
      </c>
      <c r="DE74" t="e">
        <f>AND(#REF!,"AAAAAH/6v2w=")</f>
        <v>#REF!</v>
      </c>
      <c r="DF74" t="e">
        <f>AND(#REF!,"AAAAAH/6v20=")</f>
        <v>#REF!</v>
      </c>
      <c r="DG74" t="e">
        <f>AND(#REF!,"AAAAAH/6v24=")</f>
        <v>#REF!</v>
      </c>
      <c r="DH74" t="e">
        <f>AND(#REF!,"AAAAAH/6v28=")</f>
        <v>#REF!</v>
      </c>
      <c r="DI74" t="e">
        <f>AND(#REF!,"AAAAAH/6v3A=")</f>
        <v>#REF!</v>
      </c>
      <c r="DJ74" t="e">
        <f>AND(#REF!,"AAAAAH/6v3E=")</f>
        <v>#REF!</v>
      </c>
      <c r="DK74" t="e">
        <f>AND(#REF!,"AAAAAH/6v3I=")</f>
        <v>#REF!</v>
      </c>
      <c r="DL74" t="e">
        <f>AND(#REF!,"AAAAAH/6v3M=")</f>
        <v>#REF!</v>
      </c>
      <c r="DM74" t="e">
        <f>IF(#REF!,"AAAAAH/6v3Q=",0)</f>
        <v>#REF!</v>
      </c>
      <c r="DN74" t="e">
        <f>AND(#REF!,"AAAAAH/6v3U=")</f>
        <v>#REF!</v>
      </c>
      <c r="DO74" t="e">
        <f>AND(#REF!,"AAAAAH/6v3Y=")</f>
        <v>#REF!</v>
      </c>
      <c r="DP74" t="e">
        <f>AND(#REF!,"AAAAAH/6v3c=")</f>
        <v>#REF!</v>
      </c>
      <c r="DQ74" t="e">
        <f>AND(#REF!,"AAAAAH/6v3g=")</f>
        <v>#REF!</v>
      </c>
      <c r="DR74" t="e">
        <f>AND(#REF!,"AAAAAH/6v3k=")</f>
        <v>#REF!</v>
      </c>
      <c r="DS74" t="e">
        <f>AND(#REF!,"AAAAAH/6v3o=")</f>
        <v>#REF!</v>
      </c>
      <c r="DT74" t="e">
        <f>AND(#REF!,"AAAAAH/6v3s=")</f>
        <v>#REF!</v>
      </c>
      <c r="DU74" t="e">
        <f>AND(#REF!,"AAAAAH/6v3w=")</f>
        <v>#REF!</v>
      </c>
      <c r="DV74" t="e">
        <f>AND(#REF!,"AAAAAH/6v30=")</f>
        <v>#REF!</v>
      </c>
      <c r="DW74" t="e">
        <f>AND(#REF!,"AAAAAH/6v34=")</f>
        <v>#REF!</v>
      </c>
      <c r="DX74" t="e">
        <f>AND(#REF!,"AAAAAH/6v38=")</f>
        <v>#REF!</v>
      </c>
      <c r="DY74" t="e">
        <f>AND(#REF!,"AAAAAH/6v4A=")</f>
        <v>#REF!</v>
      </c>
      <c r="DZ74" t="e">
        <f>AND(#REF!,"AAAAAH/6v4E=")</f>
        <v>#REF!</v>
      </c>
      <c r="EA74" t="e">
        <f>AND(#REF!,"AAAAAH/6v4I=")</f>
        <v>#REF!</v>
      </c>
      <c r="EB74" t="e">
        <f>AND(#REF!,"AAAAAH/6v4M=")</f>
        <v>#REF!</v>
      </c>
      <c r="EC74" t="e">
        <f>AND(#REF!,"AAAAAH/6v4Q=")</f>
        <v>#REF!</v>
      </c>
      <c r="ED74" t="e">
        <f>AND(#REF!,"AAAAAH/6v4U=")</f>
        <v>#REF!</v>
      </c>
      <c r="EE74" t="e">
        <f>AND(#REF!,"AAAAAH/6v4Y=")</f>
        <v>#REF!</v>
      </c>
      <c r="EF74" t="e">
        <f>AND(#REF!,"AAAAAH/6v4c=")</f>
        <v>#REF!</v>
      </c>
      <c r="EG74" t="e">
        <f>AND(#REF!,"AAAAAH/6v4g=")</f>
        <v>#REF!</v>
      </c>
      <c r="EH74" t="e">
        <f>AND(#REF!,"AAAAAH/6v4k=")</f>
        <v>#REF!</v>
      </c>
      <c r="EI74" t="e">
        <f>AND(#REF!,"AAAAAH/6v4o=")</f>
        <v>#REF!</v>
      </c>
      <c r="EJ74" t="e">
        <f>AND(#REF!,"AAAAAH/6v4s=")</f>
        <v>#REF!</v>
      </c>
      <c r="EK74" t="e">
        <f>AND(#REF!,"AAAAAH/6v4w=")</f>
        <v>#REF!</v>
      </c>
      <c r="EL74" t="e">
        <f>AND(#REF!,"AAAAAH/6v40=")</f>
        <v>#REF!</v>
      </c>
      <c r="EM74" t="e">
        <f>AND(#REF!,"AAAAAH/6v44=")</f>
        <v>#REF!</v>
      </c>
      <c r="EN74" t="e">
        <f>AND(#REF!,"AAAAAH/6v48=")</f>
        <v>#REF!</v>
      </c>
      <c r="EO74" t="e">
        <f>AND(#REF!,"AAAAAH/6v5A=")</f>
        <v>#REF!</v>
      </c>
      <c r="EP74" t="e">
        <f>AND(#REF!,"AAAAAH/6v5E=")</f>
        <v>#REF!</v>
      </c>
      <c r="EQ74" t="e">
        <f>AND(#REF!,"AAAAAH/6v5I=")</f>
        <v>#REF!</v>
      </c>
      <c r="ER74" t="e">
        <f>AND(#REF!,"AAAAAH/6v5M=")</f>
        <v>#REF!</v>
      </c>
      <c r="ES74" t="e">
        <f>AND(#REF!,"AAAAAH/6v5Q=")</f>
        <v>#REF!</v>
      </c>
      <c r="ET74" t="e">
        <f>IF(#REF!,"AAAAAH/6v5U=",0)</f>
        <v>#REF!</v>
      </c>
      <c r="EU74" t="e">
        <f>AND(#REF!,"AAAAAH/6v5Y=")</f>
        <v>#REF!</v>
      </c>
      <c r="EV74" t="e">
        <f>AND(#REF!,"AAAAAH/6v5c=")</f>
        <v>#REF!</v>
      </c>
      <c r="EW74" t="e">
        <f>AND(#REF!,"AAAAAH/6v5g=")</f>
        <v>#REF!</v>
      </c>
      <c r="EX74" t="e">
        <f>AND(#REF!,"AAAAAH/6v5k=")</f>
        <v>#REF!</v>
      </c>
      <c r="EY74" t="e">
        <f>AND(#REF!,"AAAAAH/6v5o=")</f>
        <v>#REF!</v>
      </c>
      <c r="EZ74" t="e">
        <f>AND(#REF!,"AAAAAH/6v5s=")</f>
        <v>#REF!</v>
      </c>
      <c r="FA74" t="e">
        <f>AND(#REF!,"AAAAAH/6v5w=")</f>
        <v>#REF!</v>
      </c>
      <c r="FB74" t="e">
        <f>AND(#REF!,"AAAAAH/6v50=")</f>
        <v>#REF!</v>
      </c>
      <c r="FC74" t="e">
        <f>AND(#REF!,"AAAAAH/6v54=")</f>
        <v>#REF!</v>
      </c>
      <c r="FD74" t="e">
        <f>AND(#REF!,"AAAAAH/6v58=")</f>
        <v>#REF!</v>
      </c>
      <c r="FE74" t="e">
        <f>AND(#REF!,"AAAAAH/6v6A=")</f>
        <v>#REF!</v>
      </c>
      <c r="FF74" t="e">
        <f>AND(#REF!,"AAAAAH/6v6E=")</f>
        <v>#REF!</v>
      </c>
      <c r="FG74" t="e">
        <f>AND(#REF!,"AAAAAH/6v6I=")</f>
        <v>#REF!</v>
      </c>
      <c r="FH74" t="e">
        <f>AND(#REF!,"AAAAAH/6v6M=")</f>
        <v>#REF!</v>
      </c>
      <c r="FI74" t="e">
        <f>AND(#REF!,"AAAAAH/6v6Q=")</f>
        <v>#REF!</v>
      </c>
      <c r="FJ74" t="e">
        <f>AND(#REF!,"AAAAAH/6v6U=")</f>
        <v>#REF!</v>
      </c>
      <c r="FK74" t="e">
        <f>AND(#REF!,"AAAAAH/6v6Y=")</f>
        <v>#REF!</v>
      </c>
      <c r="FL74" t="e">
        <f>AND(#REF!,"AAAAAH/6v6c=")</f>
        <v>#REF!</v>
      </c>
      <c r="FM74" t="e">
        <f>AND(#REF!,"AAAAAH/6v6g=")</f>
        <v>#REF!</v>
      </c>
      <c r="FN74" t="e">
        <f>AND(#REF!,"AAAAAH/6v6k=")</f>
        <v>#REF!</v>
      </c>
      <c r="FO74" t="e">
        <f>AND(#REF!,"AAAAAH/6v6o=")</f>
        <v>#REF!</v>
      </c>
      <c r="FP74" t="e">
        <f>AND(#REF!,"AAAAAH/6v6s=")</f>
        <v>#REF!</v>
      </c>
      <c r="FQ74" t="e">
        <f>AND(#REF!,"AAAAAH/6v6w=")</f>
        <v>#REF!</v>
      </c>
      <c r="FR74" t="e">
        <f>AND(#REF!,"AAAAAH/6v60=")</f>
        <v>#REF!</v>
      </c>
      <c r="FS74" t="e">
        <f>AND(#REF!,"AAAAAH/6v64=")</f>
        <v>#REF!</v>
      </c>
      <c r="FT74" t="e">
        <f>AND(#REF!,"AAAAAH/6v68=")</f>
        <v>#REF!</v>
      </c>
      <c r="FU74" t="e">
        <f>AND(#REF!,"AAAAAH/6v7A=")</f>
        <v>#REF!</v>
      </c>
      <c r="FV74" t="e">
        <f>AND(#REF!,"AAAAAH/6v7E=")</f>
        <v>#REF!</v>
      </c>
      <c r="FW74" t="e">
        <f>AND(#REF!,"AAAAAH/6v7I=")</f>
        <v>#REF!</v>
      </c>
      <c r="FX74" t="e">
        <f>AND(#REF!,"AAAAAH/6v7M=")</f>
        <v>#REF!</v>
      </c>
      <c r="FY74" t="e">
        <f>AND(#REF!,"AAAAAH/6v7Q=")</f>
        <v>#REF!</v>
      </c>
      <c r="FZ74" t="e">
        <f>AND(#REF!,"AAAAAH/6v7U=")</f>
        <v>#REF!</v>
      </c>
      <c r="GA74" t="e">
        <f>IF(#REF!,"AAAAAH/6v7Y=",0)</f>
        <v>#REF!</v>
      </c>
      <c r="GB74" t="e">
        <f>AND(#REF!,"AAAAAH/6v7c=")</f>
        <v>#REF!</v>
      </c>
      <c r="GC74" t="e">
        <f>AND(#REF!,"AAAAAH/6v7g=")</f>
        <v>#REF!</v>
      </c>
      <c r="GD74" t="e">
        <f>AND(#REF!,"AAAAAH/6v7k=")</f>
        <v>#REF!</v>
      </c>
      <c r="GE74" t="e">
        <f>AND(#REF!,"AAAAAH/6v7o=")</f>
        <v>#REF!</v>
      </c>
      <c r="GF74" t="e">
        <f>AND(#REF!,"AAAAAH/6v7s=")</f>
        <v>#REF!</v>
      </c>
      <c r="GG74" t="e">
        <f>AND(#REF!,"AAAAAH/6v7w=")</f>
        <v>#REF!</v>
      </c>
      <c r="GH74" t="e">
        <f>AND(#REF!,"AAAAAH/6v70=")</f>
        <v>#REF!</v>
      </c>
      <c r="GI74" t="e">
        <f>AND(#REF!,"AAAAAH/6v74=")</f>
        <v>#REF!</v>
      </c>
      <c r="GJ74" t="e">
        <f>AND(#REF!,"AAAAAH/6v78=")</f>
        <v>#REF!</v>
      </c>
      <c r="GK74" t="e">
        <f>AND(#REF!,"AAAAAH/6v8A=")</f>
        <v>#REF!</v>
      </c>
      <c r="GL74" t="e">
        <f>AND(#REF!,"AAAAAH/6v8E=")</f>
        <v>#REF!</v>
      </c>
      <c r="GM74" t="e">
        <f>AND(#REF!,"AAAAAH/6v8I=")</f>
        <v>#REF!</v>
      </c>
      <c r="GN74" t="e">
        <f>AND(#REF!,"AAAAAH/6v8M=")</f>
        <v>#REF!</v>
      </c>
      <c r="GO74" t="e">
        <f>AND(#REF!,"AAAAAH/6v8Q=")</f>
        <v>#REF!</v>
      </c>
      <c r="GP74" t="e">
        <f>AND(#REF!,"AAAAAH/6v8U=")</f>
        <v>#REF!</v>
      </c>
      <c r="GQ74" t="e">
        <f>AND(#REF!,"AAAAAH/6v8Y=")</f>
        <v>#REF!</v>
      </c>
      <c r="GR74" t="e">
        <f>AND(#REF!,"AAAAAH/6v8c=")</f>
        <v>#REF!</v>
      </c>
      <c r="GS74" t="e">
        <f>AND(#REF!,"AAAAAH/6v8g=")</f>
        <v>#REF!</v>
      </c>
      <c r="GT74" t="e">
        <f>AND(#REF!,"AAAAAH/6v8k=")</f>
        <v>#REF!</v>
      </c>
      <c r="GU74" t="e">
        <f>AND(#REF!,"AAAAAH/6v8o=")</f>
        <v>#REF!</v>
      </c>
      <c r="GV74" t="e">
        <f>AND(#REF!,"AAAAAH/6v8s=")</f>
        <v>#REF!</v>
      </c>
      <c r="GW74" t="e">
        <f>AND(#REF!,"AAAAAH/6v8w=")</f>
        <v>#REF!</v>
      </c>
      <c r="GX74" t="e">
        <f>AND(#REF!,"AAAAAH/6v80=")</f>
        <v>#REF!</v>
      </c>
      <c r="GY74" t="e">
        <f>AND(#REF!,"AAAAAH/6v84=")</f>
        <v>#REF!</v>
      </c>
      <c r="GZ74" t="e">
        <f>AND(#REF!,"AAAAAH/6v88=")</f>
        <v>#REF!</v>
      </c>
      <c r="HA74" t="e">
        <f>AND(#REF!,"AAAAAH/6v9A=")</f>
        <v>#REF!</v>
      </c>
      <c r="HB74" t="e">
        <f>AND(#REF!,"AAAAAH/6v9E=")</f>
        <v>#REF!</v>
      </c>
      <c r="HC74" t="e">
        <f>AND(#REF!,"AAAAAH/6v9I=")</f>
        <v>#REF!</v>
      </c>
      <c r="HD74" t="e">
        <f>AND(#REF!,"AAAAAH/6v9M=")</f>
        <v>#REF!</v>
      </c>
      <c r="HE74" t="e">
        <f>AND(#REF!,"AAAAAH/6v9Q=")</f>
        <v>#REF!</v>
      </c>
      <c r="HF74" t="e">
        <f>AND(#REF!,"AAAAAH/6v9U=")</f>
        <v>#REF!</v>
      </c>
      <c r="HG74" t="e">
        <f>AND(#REF!,"AAAAAH/6v9Y=")</f>
        <v>#REF!</v>
      </c>
      <c r="HH74" t="e">
        <f>IF(#REF!,"AAAAAH/6v9c=",0)</f>
        <v>#REF!</v>
      </c>
      <c r="HI74" t="e">
        <f>AND(#REF!,"AAAAAH/6v9g=")</f>
        <v>#REF!</v>
      </c>
      <c r="HJ74" t="e">
        <f>AND(#REF!,"AAAAAH/6v9k=")</f>
        <v>#REF!</v>
      </c>
      <c r="HK74" t="e">
        <f>AND(#REF!,"AAAAAH/6v9o=")</f>
        <v>#REF!</v>
      </c>
      <c r="HL74" t="e">
        <f>AND(#REF!,"AAAAAH/6v9s=")</f>
        <v>#REF!</v>
      </c>
      <c r="HM74" t="e">
        <f>AND(#REF!,"AAAAAH/6v9w=")</f>
        <v>#REF!</v>
      </c>
      <c r="HN74" t="e">
        <f>AND(#REF!,"AAAAAH/6v90=")</f>
        <v>#REF!</v>
      </c>
      <c r="HO74" t="e">
        <f>AND(#REF!,"AAAAAH/6v94=")</f>
        <v>#REF!</v>
      </c>
      <c r="HP74" t="e">
        <f>AND(#REF!,"AAAAAH/6v98=")</f>
        <v>#REF!</v>
      </c>
      <c r="HQ74" t="e">
        <f>AND(#REF!,"AAAAAH/6v+A=")</f>
        <v>#REF!</v>
      </c>
      <c r="HR74" t="e">
        <f>AND(#REF!,"AAAAAH/6v+E=")</f>
        <v>#REF!</v>
      </c>
      <c r="HS74" t="e">
        <f>AND(#REF!,"AAAAAH/6v+I=")</f>
        <v>#REF!</v>
      </c>
      <c r="HT74" t="e">
        <f>AND(#REF!,"AAAAAH/6v+M=")</f>
        <v>#REF!</v>
      </c>
      <c r="HU74" t="e">
        <f>AND(#REF!,"AAAAAH/6v+Q=")</f>
        <v>#REF!</v>
      </c>
      <c r="HV74" t="e">
        <f>AND(#REF!,"AAAAAH/6v+U=")</f>
        <v>#REF!</v>
      </c>
      <c r="HW74" t="e">
        <f>AND(#REF!,"AAAAAH/6v+Y=")</f>
        <v>#REF!</v>
      </c>
      <c r="HX74" t="e">
        <f>AND(#REF!,"AAAAAH/6v+c=")</f>
        <v>#REF!</v>
      </c>
      <c r="HY74" t="e">
        <f>AND(#REF!,"AAAAAH/6v+g=")</f>
        <v>#REF!</v>
      </c>
      <c r="HZ74" t="e">
        <f>AND(#REF!,"AAAAAH/6v+k=")</f>
        <v>#REF!</v>
      </c>
      <c r="IA74" t="e">
        <f>AND(#REF!,"AAAAAH/6v+o=")</f>
        <v>#REF!</v>
      </c>
      <c r="IB74" t="e">
        <f>AND(#REF!,"AAAAAH/6v+s=")</f>
        <v>#REF!</v>
      </c>
      <c r="IC74" t="e">
        <f>AND(#REF!,"AAAAAH/6v+w=")</f>
        <v>#REF!</v>
      </c>
      <c r="ID74" t="e">
        <f>AND(#REF!,"AAAAAH/6v+0=")</f>
        <v>#REF!</v>
      </c>
      <c r="IE74" t="e">
        <f>AND(#REF!,"AAAAAH/6v+4=")</f>
        <v>#REF!</v>
      </c>
      <c r="IF74" t="e">
        <f>AND(#REF!,"AAAAAH/6v+8=")</f>
        <v>#REF!</v>
      </c>
      <c r="IG74" t="e">
        <f>AND(#REF!,"AAAAAH/6v/A=")</f>
        <v>#REF!</v>
      </c>
      <c r="IH74" t="e">
        <f>AND(#REF!,"AAAAAH/6v/E=")</f>
        <v>#REF!</v>
      </c>
      <c r="II74" t="e">
        <f>AND(#REF!,"AAAAAH/6v/I=")</f>
        <v>#REF!</v>
      </c>
      <c r="IJ74" t="e">
        <f>AND(#REF!,"AAAAAH/6v/M=")</f>
        <v>#REF!</v>
      </c>
      <c r="IK74" t="e">
        <f>AND(#REF!,"AAAAAH/6v/Q=")</f>
        <v>#REF!</v>
      </c>
      <c r="IL74" t="e">
        <f>AND(#REF!,"AAAAAH/6v/U=")</f>
        <v>#REF!</v>
      </c>
      <c r="IM74" t="e">
        <f>AND(#REF!,"AAAAAH/6v/Y=")</f>
        <v>#REF!</v>
      </c>
      <c r="IN74" t="e">
        <f>AND(#REF!,"AAAAAH/6v/c=")</f>
        <v>#REF!</v>
      </c>
      <c r="IO74" t="e">
        <f>IF(#REF!,"AAAAAH/6v/g=",0)</f>
        <v>#REF!</v>
      </c>
      <c r="IP74" t="e">
        <f>IF(#REF!,"AAAAAH/6v/k=",0)</f>
        <v>#REF!</v>
      </c>
      <c r="IQ74" t="e">
        <f>IF(#REF!,"AAAAAH/6v/o=",0)</f>
        <v>#REF!</v>
      </c>
      <c r="IR74" t="e">
        <f>IF(#REF!,"AAAAAH/6v/s=",0)</f>
        <v>#REF!</v>
      </c>
      <c r="IS74" t="e">
        <f>IF(#REF!,"AAAAAH/6v/w=",0)</f>
        <v>#REF!</v>
      </c>
      <c r="IT74" t="e">
        <f>IF(#REF!,"AAAAAH/6v/0=",0)</f>
        <v>#REF!</v>
      </c>
      <c r="IU74" t="e">
        <f>IF(#REF!,"AAAAAH/6v/4=",0)</f>
        <v>#REF!</v>
      </c>
      <c r="IV74" t="e">
        <f>IF(#REF!,"AAAAAH/6v/8=",0)</f>
        <v>#REF!</v>
      </c>
    </row>
    <row r="75" spans="1:256" x14ac:dyDescent="0.25">
      <c r="A75" t="e">
        <f>IF(#REF!,"AAAAAFLOlQA=",0)</f>
        <v>#REF!</v>
      </c>
      <c r="B75" t="e">
        <f>IF(#REF!,"AAAAAFLOlQE=",0)</f>
        <v>#REF!</v>
      </c>
      <c r="C75" t="e">
        <f>IF(#REF!,"AAAAAFLOlQI=",0)</f>
        <v>#REF!</v>
      </c>
      <c r="D75" t="e">
        <f>IF(#REF!,"AAAAAFLOlQM=",0)</f>
        <v>#REF!</v>
      </c>
      <c r="E75" t="e">
        <f>IF(#REF!,"AAAAAFLOlQQ=",0)</f>
        <v>#REF!</v>
      </c>
      <c r="F75" t="e">
        <f>IF(#REF!,"AAAAAFLOlQU=",0)</f>
        <v>#REF!</v>
      </c>
      <c r="G75" t="e">
        <f>IF(#REF!,"AAAAAFLOlQY=",0)</f>
        <v>#REF!</v>
      </c>
      <c r="H75" t="e">
        <f>IF(#REF!,"AAAAAFLOlQc=",0)</f>
        <v>#REF!</v>
      </c>
      <c r="I75" t="e">
        <f>IF(#REF!,"AAAAAFLOlQg=",0)</f>
        <v>#REF!</v>
      </c>
      <c r="J75" t="e">
        <f>IF(#REF!,"AAAAAFLOlQk=",0)</f>
        <v>#REF!</v>
      </c>
      <c r="K75" t="e">
        <f>IF(#REF!,"AAAAAFLOlQo=",0)</f>
        <v>#REF!</v>
      </c>
      <c r="L75" t="e">
        <f>IF(#REF!,"AAAAAFLOlQs=",0)</f>
        <v>#REF!</v>
      </c>
      <c r="M75" t="e">
        <f>IF(#REF!,"AAAAAFLOlQw=",0)</f>
        <v>#REF!</v>
      </c>
      <c r="N75" t="e">
        <f>IF(#REF!,"AAAAAFLOlQ0=",0)</f>
        <v>#REF!</v>
      </c>
      <c r="O75" t="e">
        <f>IF(#REF!,"AAAAAFLOlQ4=",0)</f>
        <v>#REF!</v>
      </c>
      <c r="P75" t="e">
        <f>IF(#REF!,"AAAAAFLOlQ8=",0)</f>
        <v>#REF!</v>
      </c>
      <c r="Q75" t="e">
        <f>IF(#REF!,"AAAAAFLOlRA=",0)</f>
        <v>#REF!</v>
      </c>
      <c r="R75" t="e">
        <f>IF(#REF!,"AAAAAFLOlRE=",0)</f>
        <v>#REF!</v>
      </c>
      <c r="S75" t="e">
        <f>IF(#REF!,"AAAAAFLOlRI=",0)</f>
        <v>#REF!</v>
      </c>
      <c r="T75" t="e">
        <f>IF(#REF!,"AAAAAFLOlRM=",0)</f>
        <v>#REF!</v>
      </c>
      <c r="U75" t="e">
        <f>IF(#REF!,"AAAAAFLOlRQ=",0)</f>
        <v>#REF!</v>
      </c>
      <c r="V75" t="e">
        <f>IF(#REF!,"AAAAAFLOlRU=",0)</f>
        <v>#REF!</v>
      </c>
      <c r="W75" t="e">
        <f>IF(#REF!,"AAAAAFLOlRY=",0)</f>
        <v>#REF!</v>
      </c>
      <c r="X75" t="e">
        <f>IF(#REF!,"AAAAAFLOlRc=",0)</f>
        <v>#REF!</v>
      </c>
      <c r="Y75" t="e">
        <f>IF(#REF!,"AAAAAFLOlRg=",0)</f>
        <v>#REF!</v>
      </c>
      <c r="Z75" t="e">
        <f>IF(#REF!,"AAAAAFLOlRk=",0)</f>
        <v>#REF!</v>
      </c>
      <c r="AA75" t="e">
        <f>IF(#REF!,"AAAAAFLOlRo=",0)</f>
        <v>#REF!</v>
      </c>
      <c r="AB75" t="e">
        <f>IF(#REF!,"AAAAAFLOlRs=",0)</f>
        <v>#REF!</v>
      </c>
      <c r="AC75" t="e">
        <f>IF(#REF!,"AAAAAFLOlRw=",0)</f>
        <v>#REF!</v>
      </c>
      <c r="AD75" t="e">
        <f>IF(#REF!,"AAAAAFLOlR0=",0)</f>
        <v>#REF!</v>
      </c>
      <c r="AE75" t="e">
        <f>IF(#REF!,"AAAAAFLOlR4=",0)</f>
        <v>#REF!</v>
      </c>
      <c r="AF75" t="e">
        <f>IF(#REF!,"AAAAAFLOlR8=",0)</f>
        <v>#REF!</v>
      </c>
      <c r="AG75" t="e">
        <f>IF(#REF!,"AAAAAFLOlSA=",0)</f>
        <v>#REF!</v>
      </c>
      <c r="AH75" t="s">
        <v>7</v>
      </c>
      <c r="AI75" t="s">
        <v>8</v>
      </c>
      <c r="AJ75" t="s">
        <v>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</vt:lpstr>
      <vt:lpstr>CHAMADA</vt:lpstr>
    </vt:vector>
  </TitlesOfParts>
  <Company>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Igreja</dc:creator>
  <cp:lastModifiedBy>Miqueias Reale</cp:lastModifiedBy>
  <cp:lastPrinted>2023-01-30T16:44:41Z</cp:lastPrinted>
  <dcterms:created xsi:type="dcterms:W3CDTF">2008-01-10T10:39:53Z</dcterms:created>
  <dcterms:modified xsi:type="dcterms:W3CDTF">2023-02-23T18:57:38Z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17wzSg81G_LK9WSh9C4F9PZCHRrAzR57e6WMFwlzJ3MQ</vt:lpwstr>
  </property>
  <property fmtid="{D5CDD505-2E9C-101B-9397-08002B2CF9AE}" pid="4" name="Google.Documents.RevisionId">
    <vt:lpwstr>16922698471246512499</vt:lpwstr>
  </property>
  <property fmtid="{D5CDD505-2E9C-101B-9397-08002B2CF9AE}" pid="5" name="Google.Documents.PluginVersion">
    <vt:lpwstr>2.0.2026.3768</vt:lpwstr>
  </property>
  <property fmtid="{D5CDD505-2E9C-101B-9397-08002B2CF9AE}" pid="6" name="Google.Documents.MergeIncapabilityFlags">
    <vt:i4>0</vt:i4>
  </property>
</Properties>
</file>